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3680" yWindow="840" windowWidth="15120" windowHeight="12495"/>
  </bookViews>
  <sheets>
    <sheet name="DIARIO" sheetId="3" r:id="rId1"/>
    <sheet name="BANCOS" sheetId="1" r:id="rId2"/>
    <sheet name="CAJA" sheetId="2" r:id="rId3"/>
    <sheet name="MAY SETIEMBRE" sheetId="11" r:id="rId4"/>
    <sheet name="hw" sheetId="12" r:id="rId5"/>
    <sheet name="Hoja1" sheetId="13" r:id="rId6"/>
  </sheets>
  <externalReferences>
    <externalReference r:id="rId7"/>
  </externalReferences>
  <definedNames>
    <definedName name="_xlnm._FilterDatabase" localSheetId="1" hidden="1">BANCOS!$C$311:$L$477</definedName>
    <definedName name="_xlnm._FilterDatabase" localSheetId="2" hidden="1">CAJA!$B$8:$F$95</definedName>
    <definedName name="_xlnm._FilterDatabase" localSheetId="0" hidden="1">DIARIO!$B$7:$H$64</definedName>
    <definedName name="_xlnm._FilterDatabase" localSheetId="3" hidden="1">'MAY SETIEMBRE'!$B$4:$F$692</definedName>
  </definedNames>
  <calcPr calcId="124519"/>
</workbook>
</file>

<file path=xl/calcChain.xml><?xml version="1.0" encoding="utf-8"?>
<calcChain xmlns="http://schemas.openxmlformats.org/spreadsheetml/2006/main">
  <c r="H22" i="3"/>
  <c r="F208" i="11"/>
  <c r="F207"/>
  <c r="G19" i="3"/>
  <c r="E222" i="11"/>
  <c r="E687"/>
  <c r="F672"/>
  <c r="F659"/>
  <c r="E646"/>
  <c r="E632"/>
  <c r="E619"/>
  <c r="E606"/>
  <c r="E593"/>
  <c r="E581"/>
  <c r="E583"/>
  <c r="C60" i="12"/>
  <c r="E60"/>
  <c r="E568" i="11"/>
  <c r="E555"/>
  <c r="E543"/>
  <c r="E545"/>
  <c r="C55" i="12"/>
  <c r="E55" s="1"/>
  <c r="M55" s="1"/>
  <c r="E530" i="11"/>
  <c r="E517"/>
  <c r="E504"/>
  <c r="E491"/>
  <c r="E479"/>
  <c r="E481"/>
  <c r="C47" i="12"/>
  <c r="E47" s="1"/>
  <c r="M47" s="1"/>
  <c r="E467" i="11"/>
  <c r="E469"/>
  <c r="C46" i="12"/>
  <c r="E46"/>
  <c r="M46" s="1"/>
  <c r="E454" i="11"/>
  <c r="F441"/>
  <c r="E428"/>
  <c r="E431"/>
  <c r="C42" i="12" s="1"/>
  <c r="E42" s="1"/>
  <c r="M42" s="1"/>
  <c r="F416" i="11"/>
  <c r="F418"/>
  <c r="D41" i="12"/>
  <c r="F41"/>
  <c r="L41" s="1"/>
  <c r="F404" i="11"/>
  <c r="F406"/>
  <c r="D40" i="12"/>
  <c r="F40" s="1"/>
  <c r="L40" s="1"/>
  <c r="F392" i="11"/>
  <c r="F394"/>
  <c r="D38" i="12"/>
  <c r="F38" s="1"/>
  <c r="L38" s="1"/>
  <c r="E380" i="11"/>
  <c r="E382"/>
  <c r="C39" i="12"/>
  <c r="E39" s="1"/>
  <c r="K39" s="1"/>
  <c r="F366" i="11"/>
  <c r="E366"/>
  <c r="F352"/>
  <c r="E352"/>
  <c r="F340"/>
  <c r="F342"/>
  <c r="D33" i="12"/>
  <c r="E340" i="11"/>
  <c r="E342"/>
  <c r="C33" i="12"/>
  <c r="F328" i="11"/>
  <c r="F330"/>
  <c r="D32" i="12"/>
  <c r="E328" i="11"/>
  <c r="E330"/>
  <c r="C32" i="12"/>
  <c r="F316" i="11"/>
  <c r="F318"/>
  <c r="D30" i="12"/>
  <c r="E316" i="11"/>
  <c r="E318"/>
  <c r="C30" i="12"/>
  <c r="F302" i="11"/>
  <c r="E302"/>
  <c r="F288"/>
  <c r="E288"/>
  <c r="F274"/>
  <c r="E274"/>
  <c r="F260"/>
  <c r="E260"/>
  <c r="E247"/>
  <c r="F234"/>
  <c r="E234"/>
  <c r="E237"/>
  <c r="C24" i="12"/>
  <c r="E220" i="11"/>
  <c r="F205"/>
  <c r="E205"/>
  <c r="F192"/>
  <c r="F195"/>
  <c r="D20" i="12"/>
  <c r="E192" i="11"/>
  <c r="F177"/>
  <c r="E177"/>
  <c r="F165"/>
  <c r="F167"/>
  <c r="D18" i="12"/>
  <c r="F18" s="1"/>
  <c r="F151" i="11"/>
  <c r="E151"/>
  <c r="E139"/>
  <c r="E141"/>
  <c r="C16" i="12"/>
  <c r="E16" s="1"/>
  <c r="K16" s="1"/>
  <c r="E126" i="11"/>
  <c r="E114"/>
  <c r="E116"/>
  <c r="C14" i="12"/>
  <c r="E14"/>
  <c r="K14"/>
  <c r="E102" i="11"/>
  <c r="E104"/>
  <c r="C13" i="12"/>
  <c r="E13"/>
  <c r="K13" s="1"/>
  <c r="E90" i="11"/>
  <c r="E92"/>
  <c r="C12" i="12"/>
  <c r="E12" s="1"/>
  <c r="K12" s="1"/>
  <c r="E77" i="11"/>
  <c r="E65"/>
  <c r="E67"/>
  <c r="C10" i="12"/>
  <c r="E10"/>
  <c r="K10"/>
  <c r="E53" i="11"/>
  <c r="E55"/>
  <c r="C9" i="12"/>
  <c r="E9"/>
  <c r="K9" s="1"/>
  <c r="E41" i="11"/>
  <c r="E43"/>
  <c r="C8" i="12"/>
  <c r="E8" s="1"/>
  <c r="K8" s="1"/>
  <c r="F26" i="11"/>
  <c r="E26"/>
  <c r="F12"/>
  <c r="E12"/>
  <c r="F86" i="2"/>
  <c r="H37" i="3"/>
  <c r="F84" i="2"/>
  <c r="F85"/>
  <c r="F42"/>
  <c r="G59" i="3" s="1"/>
  <c r="E368" i="11" s="1"/>
  <c r="E370" s="1"/>
  <c r="C35" i="12" s="1"/>
  <c r="E53" i="2"/>
  <c r="F235" i="11"/>
  <c r="F237"/>
  <c r="D24" i="12"/>
  <c r="F24" s="1"/>
  <c r="L24" s="1"/>
  <c r="H45" i="3"/>
  <c r="H48"/>
  <c r="M60" i="12"/>
  <c r="G40" i="3"/>
  <c r="H41"/>
  <c r="F673" i="11"/>
  <c r="E206"/>
  <c r="E210" s="1"/>
  <c r="C21" i="12" s="1"/>
  <c r="E21" s="1"/>
  <c r="K21" s="1"/>
  <c r="E647" i="11"/>
  <c r="E649" s="1"/>
  <c r="C69" i="12" s="1"/>
  <c r="E69" s="1"/>
  <c r="E633" i="11"/>
  <c r="E635" s="1"/>
  <c r="C67" i="12" s="1"/>
  <c r="E67" s="1"/>
  <c r="M67" s="1"/>
  <c r="E607" i="11"/>
  <c r="E609" s="1"/>
  <c r="C65" i="12" s="1"/>
  <c r="E65" s="1"/>
  <c r="M65" s="1"/>
  <c r="E594" i="11"/>
  <c r="E596" s="1"/>
  <c r="C61" i="12" s="1"/>
  <c r="E61" s="1"/>
  <c r="M61" s="1"/>
  <c r="E569" i="11"/>
  <c r="E571"/>
  <c r="C59" i="12" s="1"/>
  <c r="E59" s="1"/>
  <c r="M59" s="1"/>
  <c r="E556" i="11"/>
  <c r="E558" s="1"/>
  <c r="C57" i="12" s="1"/>
  <c r="E57" s="1"/>
  <c r="M57" s="1"/>
  <c r="E531" i="11"/>
  <c r="E518"/>
  <c r="E520" s="1"/>
  <c r="C52" i="12" s="1"/>
  <c r="E52" s="1"/>
  <c r="M52" s="1"/>
  <c r="E505" i="11"/>
  <c r="E507" s="1"/>
  <c r="C50" i="12" s="1"/>
  <c r="E50" s="1"/>
  <c r="M50" s="1"/>
  <c r="G38" i="3"/>
  <c r="H39"/>
  <c r="F442" i="11"/>
  <c r="F444"/>
  <c r="D43" i="12"/>
  <c r="F43" s="1"/>
  <c r="N43" s="1"/>
  <c r="E429" i="11"/>
  <c r="E193"/>
  <c r="E195" s="1"/>
  <c r="C20" i="12" s="1"/>
  <c r="E20" s="1"/>
  <c r="K20" s="1"/>
  <c r="E127" i="11"/>
  <c r="G58" i="3"/>
  <c r="I58" s="1"/>
  <c r="G56"/>
  <c r="E290" i="11" s="1"/>
  <c r="E292" s="1"/>
  <c r="C28" i="12" s="1"/>
  <c r="H14" i="3"/>
  <c r="F28" i="11" s="1"/>
  <c r="F31" s="1"/>
  <c r="D7" i="12" s="1"/>
  <c r="G15" i="3"/>
  <c r="E152" i="11" s="1"/>
  <c r="E155" s="1"/>
  <c r="C17" i="12" s="1"/>
  <c r="E17" s="1"/>
  <c r="K17" s="1"/>
  <c r="H16" i="3"/>
  <c r="F367" i="11" s="1"/>
  <c r="F370" s="1"/>
  <c r="D35" i="12" s="1"/>
  <c r="F35" s="1"/>
  <c r="L35" s="1"/>
  <c r="H18" i="3"/>
  <c r="F29" i="11"/>
  <c r="H12" i="3"/>
  <c r="F660" i="11"/>
  <c r="F662"/>
  <c r="D72" i="12" s="1"/>
  <c r="F72" s="1"/>
  <c r="F89" i="2"/>
  <c r="G53" i="3"/>
  <c r="E248" i="11" s="1"/>
  <c r="E250" s="1"/>
  <c r="C25" i="12" s="1"/>
  <c r="E25" s="1"/>
  <c r="K25" s="1"/>
  <c r="F90" i="2"/>
  <c r="G54" i="3" s="1"/>
  <c r="E262" i="11" s="1"/>
  <c r="E264" s="1"/>
  <c r="C26" i="12" s="1"/>
  <c r="F91" i="2"/>
  <c r="G55" i="3"/>
  <c r="E276" i="11" s="1"/>
  <c r="E278" s="1"/>
  <c r="C27" i="12" s="1"/>
  <c r="F92" i="2"/>
  <c r="G60" i="3" s="1"/>
  <c r="F81" i="2"/>
  <c r="G51" i="3" s="1"/>
  <c r="L14" i="1"/>
  <c r="L15"/>
  <c r="L16"/>
  <c r="L17"/>
  <c r="L18"/>
  <c r="L19"/>
  <c r="L20"/>
  <c r="L21"/>
  <c r="L22"/>
  <c r="L23"/>
  <c r="L25"/>
  <c r="L26"/>
  <c r="L27"/>
  <c r="L28"/>
  <c r="L29"/>
  <c r="L30"/>
  <c r="L31"/>
  <c r="L33"/>
  <c r="L34"/>
  <c r="L35"/>
  <c r="L36"/>
  <c r="L37"/>
  <c r="L38"/>
  <c r="L39"/>
  <c r="L40"/>
  <c r="L42"/>
  <c r="L43"/>
  <c r="L44"/>
  <c r="L45"/>
  <c r="L46"/>
  <c r="L47"/>
  <c r="L48"/>
  <c r="L49"/>
  <c r="D325"/>
  <c r="K504"/>
  <c r="K480"/>
  <c r="K501"/>
  <c r="K502"/>
  <c r="K503"/>
  <c r="J501"/>
  <c r="J502"/>
  <c r="J503"/>
  <c r="I501"/>
  <c r="I502"/>
  <c r="L502"/>
  <c r="I503"/>
  <c r="G503"/>
  <c r="G502"/>
  <c r="G501"/>
  <c r="I494"/>
  <c r="F504"/>
  <c r="E504"/>
  <c r="D504"/>
  <c r="K500"/>
  <c r="J500"/>
  <c r="I500"/>
  <c r="G500"/>
  <c r="K499"/>
  <c r="J499"/>
  <c r="I499"/>
  <c r="G499"/>
  <c r="K498"/>
  <c r="J498"/>
  <c r="I498"/>
  <c r="G498"/>
  <c r="K497"/>
  <c r="J497"/>
  <c r="I497"/>
  <c r="G497"/>
  <c r="K496"/>
  <c r="J496"/>
  <c r="J504"/>
  <c r="Q495"/>
  <c r="I496"/>
  <c r="G496"/>
  <c r="H24" i="3"/>
  <c r="F153" i="11"/>
  <c r="F155" s="1"/>
  <c r="D17" i="12" s="1"/>
  <c r="E492" i="11"/>
  <c r="E494" s="1"/>
  <c r="C48" i="12" s="1"/>
  <c r="E48" s="1"/>
  <c r="M48" s="1"/>
  <c r="E455" i="11"/>
  <c r="E457" s="1"/>
  <c r="C44" i="12" s="1"/>
  <c r="E44" s="1"/>
  <c r="M44" s="1"/>
  <c r="F289" i="11"/>
  <c r="F292" s="1"/>
  <c r="D28" i="12" s="1"/>
  <c r="F28" s="1"/>
  <c r="L28" s="1"/>
  <c r="F275" i="11"/>
  <c r="F278" s="1"/>
  <c r="D27" i="12" s="1"/>
  <c r="F27" s="1"/>
  <c r="L27" s="1"/>
  <c r="E179" i="11"/>
  <c r="F178"/>
  <c r="F182"/>
  <c r="D19" i="12" s="1"/>
  <c r="F19" s="1"/>
  <c r="L19" s="1"/>
  <c r="G49" i="3"/>
  <c r="E689" i="11"/>
  <c r="I480" i="1"/>
  <c r="L480"/>
  <c r="R482"/>
  <c r="Q480"/>
  <c r="Q481"/>
  <c r="E688" i="11"/>
  <c r="E76" i="12"/>
  <c r="O76"/>
  <c r="H71"/>
  <c r="I71"/>
  <c r="E70"/>
  <c r="M70"/>
  <c r="E68"/>
  <c r="M68"/>
  <c r="E64"/>
  <c r="M64"/>
  <c r="E63"/>
  <c r="M63" s="1"/>
  <c r="E62"/>
  <c r="M62" s="1"/>
  <c r="E58"/>
  <c r="M58" s="1"/>
  <c r="E56"/>
  <c r="M56" s="1"/>
  <c r="E54"/>
  <c r="M54" s="1"/>
  <c r="E51"/>
  <c r="M51" s="1"/>
  <c r="E49"/>
  <c r="M49"/>
  <c r="E45"/>
  <c r="M45"/>
  <c r="F37"/>
  <c r="L37"/>
  <c r="E36"/>
  <c r="K36"/>
  <c r="K35"/>
  <c r="K34"/>
  <c r="K32"/>
  <c r="F31"/>
  <c r="L31"/>
  <c r="L25"/>
  <c r="L21"/>
  <c r="K19"/>
  <c r="H43"/>
  <c r="O71"/>
  <c r="H78"/>
  <c r="I11"/>
  <c r="I78"/>
  <c r="G698" i="11"/>
  <c r="F692"/>
  <c r="E677"/>
  <c r="E662"/>
  <c r="F649"/>
  <c r="F635"/>
  <c r="F622"/>
  <c r="F609"/>
  <c r="F596"/>
  <c r="F583"/>
  <c r="F571"/>
  <c r="F558"/>
  <c r="F545"/>
  <c r="F533"/>
  <c r="F520"/>
  <c r="F507"/>
  <c r="F494"/>
  <c r="F481"/>
  <c r="F469"/>
  <c r="F457"/>
  <c r="E444"/>
  <c r="F431"/>
  <c r="E418"/>
  <c r="E406"/>
  <c r="E394"/>
  <c r="F382"/>
  <c r="F250"/>
  <c r="F224"/>
  <c r="E167"/>
  <c r="F141"/>
  <c r="F129"/>
  <c r="F116"/>
  <c r="F104"/>
  <c r="F92"/>
  <c r="F80"/>
  <c r="F67"/>
  <c r="F55"/>
  <c r="F43"/>
  <c r="D488" i="1"/>
  <c r="I488"/>
  <c r="K466"/>
  <c r="J466"/>
  <c r="F43" i="2"/>
  <c r="I466" i="1"/>
  <c r="G466"/>
  <c r="F474"/>
  <c r="K473"/>
  <c r="E474"/>
  <c r="J473"/>
  <c r="D474"/>
  <c r="D476"/>
  <c r="G473"/>
  <c r="I473"/>
  <c r="L473"/>
  <c r="E323"/>
  <c r="J323"/>
  <c r="E303"/>
  <c r="D303"/>
  <c r="I303"/>
  <c r="D302"/>
  <c r="G302"/>
  <c r="E322"/>
  <c r="J322"/>
  <c r="K319"/>
  <c r="K320"/>
  <c r="K321"/>
  <c r="K322"/>
  <c r="J319"/>
  <c r="J320"/>
  <c r="I319"/>
  <c r="I320"/>
  <c r="I321"/>
  <c r="I322"/>
  <c r="G319"/>
  <c r="G320"/>
  <c r="E321"/>
  <c r="G321"/>
  <c r="D321"/>
  <c r="D327"/>
  <c r="D328"/>
  <c r="E318"/>
  <c r="G318"/>
  <c r="N313"/>
  <c r="O313"/>
  <c r="R315"/>
  <c r="O314"/>
  <c r="Q314"/>
  <c r="F488"/>
  <c r="K488"/>
  <c r="E488"/>
  <c r="J488"/>
  <c r="K487"/>
  <c r="J487"/>
  <c r="I487"/>
  <c r="G487"/>
  <c r="K486"/>
  <c r="L486"/>
  <c r="J486"/>
  <c r="I486"/>
  <c r="G486"/>
  <c r="K485"/>
  <c r="J485"/>
  <c r="I485"/>
  <c r="G485"/>
  <c r="K484"/>
  <c r="J484"/>
  <c r="I484"/>
  <c r="G484"/>
  <c r="K483"/>
  <c r="L483"/>
  <c r="J483"/>
  <c r="I483"/>
  <c r="G483"/>
  <c r="K482"/>
  <c r="J482"/>
  <c r="I482"/>
  <c r="G482"/>
  <c r="K472"/>
  <c r="J472"/>
  <c r="I472"/>
  <c r="L472"/>
  <c r="G472"/>
  <c r="K471"/>
  <c r="J471"/>
  <c r="I471"/>
  <c r="L471"/>
  <c r="G471"/>
  <c r="K470"/>
  <c r="J470"/>
  <c r="I470"/>
  <c r="L470"/>
  <c r="G470"/>
  <c r="K469"/>
  <c r="J469"/>
  <c r="I469"/>
  <c r="L469"/>
  <c r="G469"/>
  <c r="K468"/>
  <c r="J468"/>
  <c r="I468"/>
  <c r="G468"/>
  <c r="K467"/>
  <c r="J467"/>
  <c r="I467"/>
  <c r="G467"/>
  <c r="I463"/>
  <c r="I448"/>
  <c r="K334"/>
  <c r="K335"/>
  <c r="K336"/>
  <c r="K337"/>
  <c r="K338"/>
  <c r="K339"/>
  <c r="J334"/>
  <c r="J335"/>
  <c r="J336"/>
  <c r="J337"/>
  <c r="J338"/>
  <c r="J339"/>
  <c r="L339"/>
  <c r="I334"/>
  <c r="L334"/>
  <c r="I335"/>
  <c r="I336"/>
  <c r="I337"/>
  <c r="L337"/>
  <c r="I338"/>
  <c r="I339"/>
  <c r="K333"/>
  <c r="J333"/>
  <c r="I333"/>
  <c r="K347"/>
  <c r="K348"/>
  <c r="K349"/>
  <c r="K350"/>
  <c r="K351"/>
  <c r="K352"/>
  <c r="K353"/>
  <c r="L353"/>
  <c r="J347"/>
  <c r="J348"/>
  <c r="J349"/>
  <c r="J350"/>
  <c r="F75" i="2"/>
  <c r="J351" i="1"/>
  <c r="J352"/>
  <c r="J353"/>
  <c r="I347"/>
  <c r="I348"/>
  <c r="L348"/>
  <c r="I349"/>
  <c r="I350"/>
  <c r="F74" i="2"/>
  <c r="I351" i="1"/>
  <c r="I352"/>
  <c r="I353"/>
  <c r="K346"/>
  <c r="J346"/>
  <c r="I346"/>
  <c r="K316"/>
  <c r="K317"/>
  <c r="K318"/>
  <c r="K323"/>
  <c r="K324"/>
  <c r="J316"/>
  <c r="J318"/>
  <c r="J324"/>
  <c r="I316"/>
  <c r="I317"/>
  <c r="I318"/>
  <c r="I323"/>
  <c r="I324"/>
  <c r="K315"/>
  <c r="I315"/>
  <c r="M309"/>
  <c r="G299"/>
  <c r="I295"/>
  <c r="K249"/>
  <c r="K250"/>
  <c r="K251"/>
  <c r="J249"/>
  <c r="I249"/>
  <c r="K130"/>
  <c r="J130"/>
  <c r="D130"/>
  <c r="K129"/>
  <c r="J129"/>
  <c r="I129"/>
  <c r="G129"/>
  <c r="K128"/>
  <c r="J128"/>
  <c r="D128"/>
  <c r="K127"/>
  <c r="J127"/>
  <c r="I127"/>
  <c r="G127"/>
  <c r="G131"/>
  <c r="I131"/>
  <c r="J131"/>
  <c r="K131"/>
  <c r="K132"/>
  <c r="K133"/>
  <c r="K134"/>
  <c r="K135"/>
  <c r="J132"/>
  <c r="J133"/>
  <c r="J134"/>
  <c r="I132"/>
  <c r="I134"/>
  <c r="I135"/>
  <c r="G132"/>
  <c r="G134"/>
  <c r="D133"/>
  <c r="I133"/>
  <c r="I219"/>
  <c r="E456"/>
  <c r="J456"/>
  <c r="F456"/>
  <c r="K456"/>
  <c r="D456"/>
  <c r="I456"/>
  <c r="K455"/>
  <c r="J455"/>
  <c r="I455"/>
  <c r="L455"/>
  <c r="G455"/>
  <c r="K454"/>
  <c r="J454"/>
  <c r="I454"/>
  <c r="L454"/>
  <c r="G454"/>
  <c r="K453"/>
  <c r="J453"/>
  <c r="I453"/>
  <c r="L453"/>
  <c r="G453"/>
  <c r="K452"/>
  <c r="J452"/>
  <c r="I452"/>
  <c r="L452"/>
  <c r="G452"/>
  <c r="K451"/>
  <c r="J451"/>
  <c r="I451"/>
  <c r="G451"/>
  <c r="K450"/>
  <c r="J450"/>
  <c r="I450"/>
  <c r="L450"/>
  <c r="G450"/>
  <c r="E301"/>
  <c r="E299"/>
  <c r="J299"/>
  <c r="E298"/>
  <c r="E297"/>
  <c r="G297"/>
  <c r="D306"/>
  <c r="K305"/>
  <c r="J305"/>
  <c r="I305"/>
  <c r="L305"/>
  <c r="G305"/>
  <c r="K304"/>
  <c r="J304"/>
  <c r="I304"/>
  <c r="L304"/>
  <c r="G304"/>
  <c r="K303"/>
  <c r="K302"/>
  <c r="J302"/>
  <c r="I302"/>
  <c r="K301"/>
  <c r="I301"/>
  <c r="K300"/>
  <c r="J300"/>
  <c r="I300"/>
  <c r="G300"/>
  <c r="K299"/>
  <c r="I299"/>
  <c r="K298"/>
  <c r="I298"/>
  <c r="K297"/>
  <c r="I297"/>
  <c r="E135"/>
  <c r="J135"/>
  <c r="G135"/>
  <c r="G137"/>
  <c r="G138"/>
  <c r="G140"/>
  <c r="G141"/>
  <c r="G142"/>
  <c r="G143"/>
  <c r="E136"/>
  <c r="J136"/>
  <c r="G136"/>
  <c r="F139"/>
  <c r="K139"/>
  <c r="E139"/>
  <c r="G139"/>
  <c r="K136"/>
  <c r="K137"/>
  <c r="K138"/>
  <c r="K140"/>
  <c r="K141"/>
  <c r="K142"/>
  <c r="K143"/>
  <c r="K144"/>
  <c r="K145"/>
  <c r="K146"/>
  <c r="J137"/>
  <c r="J138"/>
  <c r="J140"/>
  <c r="J141"/>
  <c r="J142"/>
  <c r="J143"/>
  <c r="J144"/>
  <c r="J145"/>
  <c r="J146"/>
  <c r="I136"/>
  <c r="I137"/>
  <c r="I138"/>
  <c r="I139"/>
  <c r="I140"/>
  <c r="I141"/>
  <c r="I142"/>
  <c r="I143"/>
  <c r="I144"/>
  <c r="I145"/>
  <c r="I146"/>
  <c r="K287"/>
  <c r="I287"/>
  <c r="I288"/>
  <c r="E287"/>
  <c r="G287"/>
  <c r="K241"/>
  <c r="K243"/>
  <c r="K244"/>
  <c r="K245"/>
  <c r="K246"/>
  <c r="K247"/>
  <c r="K248"/>
  <c r="J243"/>
  <c r="J244"/>
  <c r="J245"/>
  <c r="J248"/>
  <c r="J250"/>
  <c r="J252"/>
  <c r="I243"/>
  <c r="I244"/>
  <c r="I246"/>
  <c r="I247"/>
  <c r="I248"/>
  <c r="I250"/>
  <c r="I252"/>
  <c r="G249"/>
  <c r="G250"/>
  <c r="G252"/>
  <c r="D245"/>
  <c r="I245"/>
  <c r="G245"/>
  <c r="G243"/>
  <c r="G244"/>
  <c r="D251"/>
  <c r="E251"/>
  <c r="J251"/>
  <c r="D256"/>
  <c r="E247"/>
  <c r="J247"/>
  <c r="E246"/>
  <c r="G246"/>
  <c r="D292"/>
  <c r="E242"/>
  <c r="E241"/>
  <c r="J241"/>
  <c r="E240"/>
  <c r="G240"/>
  <c r="K239"/>
  <c r="K240"/>
  <c r="K242"/>
  <c r="K252"/>
  <c r="K254"/>
  <c r="J239"/>
  <c r="J254"/>
  <c r="I239"/>
  <c r="I240"/>
  <c r="I241"/>
  <c r="I242"/>
  <c r="G239"/>
  <c r="G248"/>
  <c r="D275"/>
  <c r="G275"/>
  <c r="K272"/>
  <c r="K273"/>
  <c r="K274"/>
  <c r="K275"/>
  <c r="J272"/>
  <c r="J273"/>
  <c r="J274"/>
  <c r="J275"/>
  <c r="I271"/>
  <c r="I272"/>
  <c r="I273"/>
  <c r="I274"/>
  <c r="F271"/>
  <c r="K271"/>
  <c r="E271"/>
  <c r="E340"/>
  <c r="F340"/>
  <c r="D340"/>
  <c r="G333"/>
  <c r="G334"/>
  <c r="G335"/>
  <c r="F354"/>
  <c r="D354"/>
  <c r="G353"/>
  <c r="G352"/>
  <c r="G351"/>
  <c r="G350"/>
  <c r="G349"/>
  <c r="G348"/>
  <c r="G347"/>
  <c r="G346"/>
  <c r="G316"/>
  <c r="E317"/>
  <c r="G317"/>
  <c r="E315"/>
  <c r="G315"/>
  <c r="F325"/>
  <c r="G324"/>
  <c r="G323"/>
  <c r="G339"/>
  <c r="G338"/>
  <c r="G337"/>
  <c r="G336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J410"/>
  <c r="F65" i="2"/>
  <c r="J411" i="1"/>
  <c r="J412"/>
  <c r="J413"/>
  <c r="J414"/>
  <c r="J415"/>
  <c r="J416"/>
  <c r="J417"/>
  <c r="J418"/>
  <c r="J419"/>
  <c r="L419"/>
  <c r="J420"/>
  <c r="J421"/>
  <c r="J422"/>
  <c r="J423"/>
  <c r="J424"/>
  <c r="J425"/>
  <c r="J426"/>
  <c r="J427"/>
  <c r="L427"/>
  <c r="J428"/>
  <c r="J429"/>
  <c r="J430"/>
  <c r="J431"/>
  <c r="J432"/>
  <c r="J433"/>
  <c r="J434"/>
  <c r="J435"/>
  <c r="J436"/>
  <c r="J437"/>
  <c r="J438"/>
  <c r="J439"/>
  <c r="J440"/>
  <c r="J441"/>
  <c r="J442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K409"/>
  <c r="J409"/>
  <c r="I409"/>
  <c r="F443"/>
  <c r="E443"/>
  <c r="D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E401"/>
  <c r="F401"/>
  <c r="D401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400"/>
  <c r="G371"/>
  <c r="G370"/>
  <c r="G369"/>
  <c r="G368"/>
  <c r="G367"/>
  <c r="G366"/>
  <c r="G365"/>
  <c r="I270"/>
  <c r="K291"/>
  <c r="J291"/>
  <c r="I291"/>
  <c r="G291"/>
  <c r="K290"/>
  <c r="J290"/>
  <c r="I290"/>
  <c r="G290"/>
  <c r="K289"/>
  <c r="J289"/>
  <c r="I289"/>
  <c r="G289"/>
  <c r="K288"/>
  <c r="J288"/>
  <c r="G288"/>
  <c r="K286"/>
  <c r="J286"/>
  <c r="L286"/>
  <c r="I286"/>
  <c r="G286"/>
  <c r="K285"/>
  <c r="J285"/>
  <c r="I285"/>
  <c r="G285"/>
  <c r="K284"/>
  <c r="J284"/>
  <c r="L284"/>
  <c r="I284"/>
  <c r="G284"/>
  <c r="K283"/>
  <c r="J283"/>
  <c r="L283"/>
  <c r="I283"/>
  <c r="G283"/>
  <c r="I281"/>
  <c r="G274"/>
  <c r="G273"/>
  <c r="G272"/>
  <c r="K270"/>
  <c r="J270"/>
  <c r="G270"/>
  <c r="K269"/>
  <c r="I269"/>
  <c r="E269"/>
  <c r="J269"/>
  <c r="K268"/>
  <c r="I268"/>
  <c r="E268"/>
  <c r="K267"/>
  <c r="I267"/>
  <c r="E267"/>
  <c r="I266"/>
  <c r="F266"/>
  <c r="F276"/>
  <c r="E266"/>
  <c r="J266"/>
  <c r="K265"/>
  <c r="I265"/>
  <c r="E265"/>
  <c r="G265"/>
  <c r="K264"/>
  <c r="I264"/>
  <c r="E264"/>
  <c r="G264"/>
  <c r="K263"/>
  <c r="J263"/>
  <c r="I263"/>
  <c r="G263"/>
  <c r="K262"/>
  <c r="J262"/>
  <c r="I262"/>
  <c r="G262"/>
  <c r="K261"/>
  <c r="I261"/>
  <c r="E261"/>
  <c r="J261"/>
  <c r="K260"/>
  <c r="I260"/>
  <c r="E260"/>
  <c r="J260"/>
  <c r="K259"/>
  <c r="J259"/>
  <c r="I259"/>
  <c r="G259"/>
  <c r="I258"/>
  <c r="K238"/>
  <c r="J238"/>
  <c r="I238"/>
  <c r="G238"/>
  <c r="K237"/>
  <c r="I237"/>
  <c r="E237"/>
  <c r="J237"/>
  <c r="K236"/>
  <c r="I236"/>
  <c r="E236"/>
  <c r="J236"/>
  <c r="K235"/>
  <c r="J235"/>
  <c r="I235"/>
  <c r="G235"/>
  <c r="K234"/>
  <c r="I234"/>
  <c r="E234"/>
  <c r="J234"/>
  <c r="K233"/>
  <c r="J233"/>
  <c r="I233"/>
  <c r="G233"/>
  <c r="F232"/>
  <c r="E232"/>
  <c r="J232"/>
  <c r="D232"/>
  <c r="K231"/>
  <c r="J231"/>
  <c r="I231"/>
  <c r="G231"/>
  <c r="K230"/>
  <c r="J230"/>
  <c r="I230"/>
  <c r="G230"/>
  <c r="I229"/>
  <c r="I218"/>
  <c r="I217"/>
  <c r="I216"/>
  <c r="I215"/>
  <c r="K201"/>
  <c r="J201"/>
  <c r="L201"/>
  <c r="I201"/>
  <c r="G201"/>
  <c r="I199"/>
  <c r="K190"/>
  <c r="L190"/>
  <c r="J190"/>
  <c r="I190"/>
  <c r="G190"/>
  <c r="I188"/>
  <c r="K182"/>
  <c r="J182"/>
  <c r="D182"/>
  <c r="I182"/>
  <c r="G182"/>
  <c r="K181"/>
  <c r="J181"/>
  <c r="D181"/>
  <c r="I181"/>
  <c r="G181"/>
  <c r="K180"/>
  <c r="J180"/>
  <c r="D180"/>
  <c r="I180"/>
  <c r="G180"/>
  <c r="K179"/>
  <c r="J179"/>
  <c r="D179"/>
  <c r="I179"/>
  <c r="G179"/>
  <c r="K178"/>
  <c r="J178"/>
  <c r="I178"/>
  <c r="G178"/>
  <c r="K177"/>
  <c r="J177"/>
  <c r="L177"/>
  <c r="I177"/>
  <c r="G177"/>
  <c r="K176"/>
  <c r="J176"/>
  <c r="I176"/>
  <c r="G176"/>
  <c r="K175"/>
  <c r="J175"/>
  <c r="I175"/>
  <c r="G175"/>
  <c r="K174"/>
  <c r="J174"/>
  <c r="I174"/>
  <c r="L174"/>
  <c r="G174"/>
  <c r="K173"/>
  <c r="J173"/>
  <c r="I173"/>
  <c r="L173"/>
  <c r="G173"/>
  <c r="K172"/>
  <c r="J172"/>
  <c r="I172"/>
  <c r="L172"/>
  <c r="G172"/>
  <c r="K171"/>
  <c r="J171"/>
  <c r="I171"/>
  <c r="L171"/>
  <c r="G171"/>
  <c r="I169"/>
  <c r="K164"/>
  <c r="J164"/>
  <c r="I164"/>
  <c r="G164"/>
  <c r="K163"/>
  <c r="J163"/>
  <c r="I163"/>
  <c r="G163"/>
  <c r="K162"/>
  <c r="I162"/>
  <c r="L162"/>
  <c r="E162"/>
  <c r="G162"/>
  <c r="K161"/>
  <c r="J161"/>
  <c r="I161"/>
  <c r="G161"/>
  <c r="K160"/>
  <c r="J160"/>
  <c r="I160"/>
  <c r="G160"/>
  <c r="K159"/>
  <c r="J159"/>
  <c r="I159"/>
  <c r="G159"/>
  <c r="K158"/>
  <c r="J158"/>
  <c r="I158"/>
  <c r="G158"/>
  <c r="K157"/>
  <c r="I157"/>
  <c r="L157"/>
  <c r="E157"/>
  <c r="G157"/>
  <c r="J157"/>
  <c r="K156"/>
  <c r="J156"/>
  <c r="I156"/>
  <c r="G156"/>
  <c r="K155"/>
  <c r="J155"/>
  <c r="I155"/>
  <c r="G155"/>
  <c r="K154"/>
  <c r="J154"/>
  <c r="I154"/>
  <c r="L154"/>
  <c r="G154"/>
  <c r="K153"/>
  <c r="E153"/>
  <c r="D153"/>
  <c r="I153"/>
  <c r="K152"/>
  <c r="L152"/>
  <c r="J152"/>
  <c r="I152"/>
  <c r="G152"/>
  <c r="K151"/>
  <c r="L151"/>
  <c r="J151"/>
  <c r="I151"/>
  <c r="G151"/>
  <c r="I149"/>
  <c r="G146"/>
  <c r="G145"/>
  <c r="G144"/>
  <c r="K126"/>
  <c r="J126"/>
  <c r="I126"/>
  <c r="G126"/>
  <c r="K125"/>
  <c r="I125"/>
  <c r="E125"/>
  <c r="J125"/>
  <c r="K124"/>
  <c r="J124"/>
  <c r="I124"/>
  <c r="G124"/>
  <c r="K123"/>
  <c r="I123"/>
  <c r="E123"/>
  <c r="G123"/>
  <c r="K122"/>
  <c r="J122"/>
  <c r="I122"/>
  <c r="G122"/>
  <c r="K121"/>
  <c r="I121"/>
  <c r="E121"/>
  <c r="G121"/>
  <c r="K120"/>
  <c r="I120"/>
  <c r="E120"/>
  <c r="J120"/>
  <c r="K119"/>
  <c r="J119"/>
  <c r="I119"/>
  <c r="G119"/>
  <c r="K118"/>
  <c r="I118"/>
  <c r="E118"/>
  <c r="G118"/>
  <c r="K117"/>
  <c r="J117"/>
  <c r="I117"/>
  <c r="G117"/>
  <c r="K116"/>
  <c r="J116"/>
  <c r="I116"/>
  <c r="G116"/>
  <c r="K115"/>
  <c r="J115"/>
  <c r="I115"/>
  <c r="G115"/>
  <c r="K114"/>
  <c r="J114"/>
  <c r="I114"/>
  <c r="G114"/>
  <c r="K113"/>
  <c r="J113"/>
  <c r="I113"/>
  <c r="G113"/>
  <c r="D165"/>
  <c r="L50"/>
  <c r="L52"/>
  <c r="L53"/>
  <c r="L54"/>
  <c r="L55"/>
  <c r="L56"/>
  <c r="L57"/>
  <c r="L58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9"/>
  <c r="L80"/>
  <c r="L81"/>
  <c r="L82"/>
  <c r="L83"/>
  <c r="L84"/>
  <c r="L85"/>
  <c r="L86"/>
  <c r="L87"/>
  <c r="L89"/>
  <c r="L90"/>
  <c r="L91"/>
  <c r="L92"/>
  <c r="L93"/>
  <c r="L94"/>
  <c r="L95"/>
  <c r="L96"/>
  <c r="L98"/>
  <c r="L99"/>
  <c r="L100"/>
  <c r="L101"/>
  <c r="L102"/>
  <c r="L103"/>
  <c r="L104"/>
  <c r="L105"/>
  <c r="J121"/>
  <c r="I232"/>
  <c r="K266"/>
  <c r="J162"/>
  <c r="G234"/>
  <c r="D183"/>
  <c r="D185"/>
  <c r="E354"/>
  <c r="G237"/>
  <c r="G236"/>
  <c r="J265"/>
  <c r="G247"/>
  <c r="J240"/>
  <c r="D253"/>
  <c r="G241"/>
  <c r="G120"/>
  <c r="G125"/>
  <c r="J139"/>
  <c r="D276"/>
  <c r="I253"/>
  <c r="D254"/>
  <c r="F73" i="12"/>
  <c r="G260" i="1"/>
  <c r="G266"/>
  <c r="J264"/>
  <c r="L289"/>
  <c r="L290"/>
  <c r="L291"/>
  <c r="L482"/>
  <c r="L484"/>
  <c r="L485"/>
  <c r="I504"/>
  <c r="L504"/>
  <c r="R496"/>
  <c r="J287"/>
  <c r="G261"/>
  <c r="L155"/>
  <c r="L156"/>
  <c r="L159"/>
  <c r="L285"/>
  <c r="L288"/>
  <c r="I275"/>
  <c r="J246"/>
  <c r="J317"/>
  <c r="L487"/>
  <c r="G303"/>
  <c r="L503"/>
  <c r="J123"/>
  <c r="J118"/>
  <c r="J297"/>
  <c r="L297"/>
  <c r="L175"/>
  <c r="L176"/>
  <c r="L179"/>
  <c r="L180"/>
  <c r="L300"/>
  <c r="G488"/>
  <c r="J321"/>
  <c r="L501"/>
  <c r="J301"/>
  <c r="L301"/>
  <c r="G301"/>
  <c r="I276"/>
  <c r="G268"/>
  <c r="J268"/>
  <c r="J271"/>
  <c r="J276"/>
  <c r="G271"/>
  <c r="L287"/>
  <c r="G133"/>
  <c r="J242"/>
  <c r="G242"/>
  <c r="L299"/>
  <c r="I130"/>
  <c r="G130"/>
  <c r="G232"/>
  <c r="K232"/>
  <c r="F253"/>
  <c r="K253"/>
  <c r="J298"/>
  <c r="L298"/>
  <c r="G298"/>
  <c r="I128"/>
  <c r="G128"/>
  <c r="K276"/>
  <c r="G267"/>
  <c r="J267"/>
  <c r="E276"/>
  <c r="G251"/>
  <c r="G254"/>
  <c r="I254"/>
  <c r="G269"/>
  <c r="E253"/>
  <c r="J153"/>
  <c r="G153"/>
  <c r="L161"/>
  <c r="L302"/>
  <c r="J303"/>
  <c r="L303"/>
  <c r="L488"/>
  <c r="L153"/>
  <c r="I251"/>
  <c r="L160"/>
  <c r="J315"/>
  <c r="L496"/>
  <c r="L158"/>
  <c r="L163"/>
  <c r="L164"/>
  <c r="L178"/>
  <c r="L181"/>
  <c r="L182"/>
  <c r="G504"/>
  <c r="L499"/>
  <c r="L500"/>
  <c r="L498"/>
  <c r="L497"/>
  <c r="L165"/>
  <c r="G276"/>
  <c r="L183"/>
  <c r="Q494"/>
  <c r="E58" i="2"/>
  <c r="E97"/>
  <c r="E99" s="1"/>
  <c r="J253" i="1"/>
  <c r="G253"/>
  <c r="L432"/>
  <c r="L428"/>
  <c r="L413"/>
  <c r="Q449"/>
  <c r="L415"/>
  <c r="Q313"/>
  <c r="L424"/>
  <c r="L439"/>
  <c r="L431"/>
  <c r="L412"/>
  <c r="L351"/>
  <c r="J340"/>
  <c r="Q332"/>
  <c r="L437"/>
  <c r="L429"/>
  <c r="L425"/>
  <c r="L417"/>
  <c r="L410"/>
  <c r="Q364"/>
  <c r="K443"/>
  <c r="L435"/>
  <c r="L438"/>
  <c r="J474"/>
  <c r="G443"/>
  <c r="L442"/>
  <c r="L426"/>
  <c r="L422"/>
  <c r="L418"/>
  <c r="L414"/>
  <c r="L411"/>
  <c r="L440"/>
  <c r="K354"/>
  <c r="L350"/>
  <c r="L336"/>
  <c r="F64" i="2"/>
  <c r="L436" i="1"/>
  <c r="J325"/>
  <c r="L349"/>
  <c r="K340"/>
  <c r="L468"/>
  <c r="G322"/>
  <c r="G354"/>
  <c r="L441"/>
  <c r="L434"/>
  <c r="L430"/>
  <c r="L423"/>
  <c r="L352"/>
  <c r="L347"/>
  <c r="K474"/>
  <c r="Q464"/>
  <c r="I443"/>
  <c r="L420"/>
  <c r="L416"/>
  <c r="L451"/>
  <c r="K325"/>
  <c r="E325"/>
  <c r="G325"/>
  <c r="G401"/>
  <c r="R365"/>
  <c r="L409"/>
  <c r="L433"/>
  <c r="L421"/>
  <c r="G340"/>
  <c r="G456"/>
  <c r="I325"/>
  <c r="L346"/>
  <c r="I354"/>
  <c r="L338"/>
  <c r="I340"/>
  <c r="L335"/>
  <c r="G474"/>
  <c r="L466"/>
  <c r="L456"/>
  <c r="R450"/>
  <c r="Q448"/>
  <c r="I474"/>
  <c r="L333"/>
  <c r="L467"/>
  <c r="J443"/>
  <c r="J354"/>
  <c r="R333"/>
  <c r="Q331"/>
  <c r="L340"/>
  <c r="Q345"/>
  <c r="L443"/>
  <c r="R409"/>
  <c r="Q408"/>
  <c r="Q363"/>
  <c r="L354"/>
  <c r="R346"/>
  <c r="Q344"/>
  <c r="L474"/>
  <c r="R465"/>
  <c r="Q463"/>
  <c r="Q407"/>
  <c r="E354" i="11"/>
  <c r="E356" s="1"/>
  <c r="E78"/>
  <c r="F353"/>
  <c r="F356"/>
  <c r="D34" i="12"/>
  <c r="F30"/>
  <c r="L30" s="1"/>
  <c r="F33"/>
  <c r="L33"/>
  <c r="E80" i="11"/>
  <c r="C11" i="12" s="1"/>
  <c r="E11" s="1"/>
  <c r="K11" s="1"/>
  <c r="F32"/>
  <c r="L32" s="1"/>
  <c r="E129" i="11"/>
  <c r="C15" i="12"/>
  <c r="E15" s="1"/>
  <c r="K15" s="1"/>
  <c r="E533" i="11"/>
  <c r="C53" i="12" s="1"/>
  <c r="E53" s="1"/>
  <c r="M53" s="1"/>
  <c r="G10" i="3"/>
  <c r="E27" i="11"/>
  <c r="E31" s="1"/>
  <c r="C7" i="12" s="1"/>
  <c r="E7" s="1"/>
  <c r="F210" i="11"/>
  <c r="D21" i="12" s="1"/>
  <c r="F95" i="2"/>
  <c r="F303" i="11"/>
  <c r="F306" s="1"/>
  <c r="D29" i="12" s="1"/>
  <c r="F29" s="1"/>
  <c r="L29" s="1"/>
  <c r="F261" i="11"/>
  <c r="F264"/>
  <c r="D26" i="12"/>
  <c r="F26" s="1"/>
  <c r="L26" s="1"/>
  <c r="G21" i="3"/>
  <c r="E180" i="11"/>
  <c r="E182" s="1"/>
  <c r="C19" i="12" s="1"/>
  <c r="H50" i="3"/>
  <c r="F674" i="11"/>
  <c r="F97" i="2"/>
  <c r="G57" i="3"/>
  <c r="E304" i="11" s="1"/>
  <c r="E306" s="1"/>
  <c r="C29" i="12" s="1"/>
  <c r="I61" i="3"/>
  <c r="H355" i="11" l="1"/>
  <c r="C34" i="12"/>
  <c r="F34" s="1"/>
  <c r="L34" s="1"/>
  <c r="H61" i="3"/>
  <c r="E221" i="11"/>
  <c r="E224" s="1"/>
  <c r="C22" i="12" s="1"/>
  <c r="E22" s="1"/>
  <c r="K22" s="1"/>
  <c r="H53" i="2"/>
  <c r="K7" i="12"/>
  <c r="P72"/>
  <c r="P78" s="1"/>
  <c r="N72"/>
  <c r="O69"/>
  <c r="M69"/>
  <c r="L18"/>
  <c r="F99" i="2"/>
  <c r="M78" i="12"/>
  <c r="E620" i="11"/>
  <c r="E622" s="1"/>
  <c r="C66" i="12" s="1"/>
  <c r="E66" s="1"/>
  <c r="M66" s="1"/>
  <c r="G62" i="3"/>
  <c r="N78" i="12"/>
  <c r="F98" i="2"/>
  <c r="G13" i="3"/>
  <c r="M79" i="12" l="1"/>
  <c r="N80"/>
  <c r="P80"/>
  <c r="H66" i="3"/>
  <c r="F14" i="11"/>
  <c r="G66" i="3"/>
  <c r="E13" i="11"/>
  <c r="E690"/>
  <c r="E692" s="1"/>
  <c r="C75" i="12" s="1"/>
  <c r="E75" s="1"/>
  <c r="O75" s="1"/>
  <c r="H63" i="3"/>
  <c r="F675" i="11" s="1"/>
  <c r="F677" s="1"/>
  <c r="D74" i="12" s="1"/>
  <c r="F74" s="1"/>
  <c r="O78"/>
  <c r="M80"/>
  <c r="L78"/>
  <c r="F78"/>
  <c r="E16" i="11" l="1"/>
  <c r="C6" i="12" s="1"/>
  <c r="E697" i="11"/>
  <c r="F697"/>
  <c r="F16"/>
  <c r="D6" i="12" s="1"/>
  <c r="D78" s="1"/>
  <c r="O79"/>
  <c r="O80" s="1"/>
  <c r="C78" l="1"/>
  <c r="D80" s="1"/>
  <c r="E6"/>
  <c r="G697" i="11"/>
  <c r="E78" i="12" l="1"/>
  <c r="F80" s="1"/>
  <c r="K6"/>
  <c r="G98" i="2" l="1"/>
  <c r="K78" i="12"/>
  <c r="L79" l="1"/>
  <c r="L80" s="1"/>
  <c r="K80"/>
</calcChain>
</file>

<file path=xl/sharedStrings.xml><?xml version="1.0" encoding="utf-8"?>
<sst xmlns="http://schemas.openxmlformats.org/spreadsheetml/2006/main" count="1816" uniqueCount="368">
  <si>
    <t>DETALLE DE DECLARACIONES Y PAGOS</t>
  </si>
  <si>
    <t>RUC</t>
  </si>
  <si>
    <t>NOMBRE/RAZON SOCIAL</t>
  </si>
  <si>
    <t>DESDE</t>
  </si>
  <si>
    <t>FORMULARIO</t>
  </si>
  <si>
    <t>FECHA</t>
  </si>
  <si>
    <t>ORDENADO POR</t>
  </si>
  <si>
    <t>HASTA</t>
  </si>
  <si>
    <t>IMPORTE PAGADO</t>
  </si>
  <si>
    <t>PERIODO</t>
  </si>
  <si>
    <t>N°FORMULARIO</t>
  </si>
  <si>
    <t>N°ORDEN</t>
  </si>
  <si>
    <t>DESCRIPCION</t>
  </si>
  <si>
    <t>BANCO RECEPTOR</t>
  </si>
  <si>
    <t>FECHA PRES</t>
  </si>
  <si>
    <t>COD TRIBUTO</t>
  </si>
  <si>
    <t xml:space="preserve"> </t>
  </si>
  <si>
    <t>20531516045</t>
  </si>
  <si>
    <t>23/09/2013</t>
  </si>
  <si>
    <t xml:space="preserve">MOLIREY INTERNACIONAL S.A.C.                                                                        </t>
  </si>
  <si>
    <t>201301</t>
  </si>
  <si>
    <t>201306</t>
  </si>
  <si>
    <t>TODOS</t>
  </si>
  <si>
    <t>MAYOR IGUAL A CERO</t>
  </si>
  <si>
    <t>1662</t>
  </si>
  <si>
    <t>590019854</t>
  </si>
  <si>
    <t xml:space="preserve">BOLETA DE PAGO - VIRTUAL                </t>
  </si>
  <si>
    <t xml:space="preserve">NACION PRICO SAN MARTIN   </t>
  </si>
  <si>
    <t>16/07/2013</t>
  </si>
  <si>
    <t>3038</t>
  </si>
  <si>
    <t xml:space="preserve">IMP.TEMPORAL A LOS ACTIV.NETOS </t>
  </si>
  <si>
    <t>590019885</t>
  </si>
  <si>
    <t>17/07/2013</t>
  </si>
  <si>
    <t>3052</t>
  </si>
  <si>
    <t xml:space="preserve">RENTA 5TA. CATEG. RETENCIONES  </t>
  </si>
  <si>
    <t>590019886</t>
  </si>
  <si>
    <t>5210</t>
  </si>
  <si>
    <t xml:space="preserve">ESSALUD SEG REGULAR TRABAJADOR </t>
  </si>
  <si>
    <t>590019887</t>
  </si>
  <si>
    <t>5310</t>
  </si>
  <si>
    <t xml:space="preserve">SNP - LEY 19990                </t>
  </si>
  <si>
    <t>590019889</t>
  </si>
  <si>
    <t>3031</t>
  </si>
  <si>
    <t xml:space="preserve">RENTA-3RA. CATEGOR.-CTA.PROPIA </t>
  </si>
  <si>
    <t>0621</t>
  </si>
  <si>
    <t>782709766</t>
  </si>
  <si>
    <t>Simplificado IGV- Renta mensual</t>
  </si>
  <si>
    <t>-</t>
  </si>
  <si>
    <t>0601</t>
  </si>
  <si>
    <t>759511975</t>
  </si>
  <si>
    <t xml:space="preserve">PLANILLA ELECTRONICA                    </t>
  </si>
  <si>
    <t>201305</t>
  </si>
  <si>
    <t>590019620</t>
  </si>
  <si>
    <t>19/06/2013</t>
  </si>
  <si>
    <t>590019621</t>
  </si>
  <si>
    <t>590019622</t>
  </si>
  <si>
    <t>590019623</t>
  </si>
  <si>
    <t>590019665</t>
  </si>
  <si>
    <t>25/06/2013</t>
  </si>
  <si>
    <t>590019714</t>
  </si>
  <si>
    <t>04/07/2013</t>
  </si>
  <si>
    <t>590019717</t>
  </si>
  <si>
    <t>05/07/2013</t>
  </si>
  <si>
    <t>781829308</t>
  </si>
  <si>
    <t>17/06/2013</t>
  </si>
  <si>
    <t>759266242</t>
  </si>
  <si>
    <t>201304</t>
  </si>
  <si>
    <t>590019301</t>
  </si>
  <si>
    <t>20/05/2013</t>
  </si>
  <si>
    <t>590019302</t>
  </si>
  <si>
    <t>590019303</t>
  </si>
  <si>
    <t>590019304</t>
  </si>
  <si>
    <t>590019305</t>
  </si>
  <si>
    <t>759022291</t>
  </si>
  <si>
    <t>781135306</t>
  </si>
  <si>
    <t>201303</t>
  </si>
  <si>
    <t>590018534</t>
  </si>
  <si>
    <t>07/03/2013</t>
  </si>
  <si>
    <t>8061</t>
  </si>
  <si>
    <t xml:space="preserve">COSTAS PROCESALES              </t>
  </si>
  <si>
    <t>590018881</t>
  </si>
  <si>
    <t>09/04/2013</t>
  </si>
  <si>
    <t>590018882</t>
  </si>
  <si>
    <t>590018883</t>
  </si>
  <si>
    <t>590018884</t>
  </si>
  <si>
    <t>590018885</t>
  </si>
  <si>
    <t>590018906</t>
  </si>
  <si>
    <t>10/04/2013</t>
  </si>
  <si>
    <t>590019026</t>
  </si>
  <si>
    <t>18/04/2013</t>
  </si>
  <si>
    <t>758782114</t>
  </si>
  <si>
    <t>17/04/2013</t>
  </si>
  <si>
    <t>780324879</t>
  </si>
  <si>
    <t>0648</t>
  </si>
  <si>
    <t>750078962</t>
  </si>
  <si>
    <t xml:space="preserve">PDT IMP.TEMPORAL A LOS ACTIVOS NETOS    </t>
  </si>
  <si>
    <t>201302</t>
  </si>
  <si>
    <t>590018580</t>
  </si>
  <si>
    <t>12/03/2013</t>
  </si>
  <si>
    <t>590018581</t>
  </si>
  <si>
    <t>590018582</t>
  </si>
  <si>
    <t>590018583</t>
  </si>
  <si>
    <t>590018692</t>
  </si>
  <si>
    <t>19/03/2013</t>
  </si>
  <si>
    <t>590018778</t>
  </si>
  <si>
    <t>27/03/2013</t>
  </si>
  <si>
    <t>758534654</t>
  </si>
  <si>
    <t>779500861</t>
  </si>
  <si>
    <t>590018260</t>
  </si>
  <si>
    <t>30/01/2013</t>
  </si>
  <si>
    <t>590018365</t>
  </si>
  <si>
    <t>14/02/2013</t>
  </si>
  <si>
    <t>590018366</t>
  </si>
  <si>
    <t>590018367</t>
  </si>
  <si>
    <t>590018368</t>
  </si>
  <si>
    <t>758307422</t>
  </si>
  <si>
    <t>19/02/2013</t>
  </si>
  <si>
    <t>778720204</t>
  </si>
  <si>
    <t>201308</t>
  </si>
  <si>
    <t>760011797</t>
  </si>
  <si>
    <t>18/09/2013</t>
  </si>
  <si>
    <t>784432846</t>
  </si>
  <si>
    <t>201307</t>
  </si>
  <si>
    <t>590020165</t>
  </si>
  <si>
    <t>20/08/2013</t>
  </si>
  <si>
    <t>590020166</t>
  </si>
  <si>
    <t>590020167</t>
  </si>
  <si>
    <t>590020168</t>
  </si>
  <si>
    <t>590020189</t>
  </si>
  <si>
    <t>21/08/2013</t>
  </si>
  <si>
    <t>6411</t>
  </si>
  <si>
    <t xml:space="preserve">ONP -RETENCION O PERC. NO PAG  </t>
  </si>
  <si>
    <t>590020190</t>
  </si>
  <si>
    <t>6111</t>
  </si>
  <si>
    <t xml:space="preserve">RETEN PERCEPC NO PAGADAS PZOS  </t>
  </si>
  <si>
    <t>759759390</t>
  </si>
  <si>
    <t>19/08/2013</t>
  </si>
  <si>
    <t>783594379</t>
  </si>
  <si>
    <t>201212</t>
  </si>
  <si>
    <t>590018111</t>
  </si>
  <si>
    <t>16/01/2013</t>
  </si>
  <si>
    <t>590018112</t>
  </si>
  <si>
    <t>3036</t>
  </si>
  <si>
    <t>RENTA - DISTRIBUCION DIVIDENDOS</t>
  </si>
  <si>
    <t>590018113</t>
  </si>
  <si>
    <t>590018276</t>
  </si>
  <si>
    <t>06/02/2013</t>
  </si>
  <si>
    <t>590018277</t>
  </si>
  <si>
    <t>758009579</t>
  </si>
  <si>
    <t>777743032</t>
  </si>
  <si>
    <t>201211</t>
  </si>
  <si>
    <t>590018114</t>
  </si>
  <si>
    <t>590018115</t>
  </si>
  <si>
    <t>FORMATO 1.1: "LIBRO CAJA Y BANCOS - DETALLE DE LOS MOVIMIENTOS DEL EFECTIVO"</t>
  </si>
  <si>
    <t>RUC: 20531516045</t>
  </si>
  <si>
    <t>APELLIDOS Y NOMBRES, DENOMINACIÓN O RAZÓN SOCIAL: MOLIREY INTERNACIONAL S.A.C.</t>
  </si>
  <si>
    <t xml:space="preserve">NÚMERO CORRELATIVO DEL REGISTRO O CODIGO UNICO DE LA OPERACION </t>
  </si>
  <si>
    <t>FECHA DE  LA OPERACIÓN</t>
  </si>
  <si>
    <t>DESCRIPCIÓN DE LA OPERACIÓN</t>
  </si>
  <si>
    <t>SALDOS Y MOVIMIENTOS</t>
  </si>
  <si>
    <t>DEUDOR</t>
  </si>
  <si>
    <t>ACREEDOR</t>
  </si>
  <si>
    <t>SALDO INICIAL</t>
  </si>
  <si>
    <t>SALDO MES SIGUIENTE</t>
  </si>
  <si>
    <t>FORMATO 5.1: "LIBRO DIARIO"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</si>
  <si>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</si>
  <si>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</si>
  <si>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</si>
  <si>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</si>
  <si>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MOVIMIENTO</t>
  </si>
  <si>
    <t>CÓDIGO</t>
  </si>
  <si>
    <t>DENOMINACION</t>
  </si>
  <si>
    <t>DEBE</t>
  </si>
  <si>
    <t>HABER</t>
  </si>
  <si>
    <t>01</t>
  </si>
  <si>
    <t>TOTALES</t>
  </si>
  <si>
    <t>FORMATO 6.1: "LIBRO MAYOR"</t>
  </si>
  <si>
    <t>CODIGO Y/O DENOMINACIÓN DE LA CUENTA CONTABLE 1011 CAJA</t>
  </si>
  <si>
    <t>NÚMERO CORRELATIVO DEL LIBRO DIARIO (2)</t>
  </si>
  <si>
    <t>DESCRIPCION O GLOSA DE LA OPERACION</t>
  </si>
  <si>
    <t>POR EL INGRESO DE EFECTIVO A CAJA</t>
  </si>
  <si>
    <t xml:space="preserve">                TOTALES</t>
  </si>
  <si>
    <t>CODIGO Y/O DENOMINACIÓN DE LA CUENTA CONTABLE 1212 FACTURAS Y BOLETAS POR COBRAR</t>
  </si>
  <si>
    <t>POR PROVISION DE LAS VENTAS</t>
  </si>
  <si>
    <t>CODIGO Y/O DENOMINACIÓN DE LA CUENTA CONTABLE 1413 ENTREGAS A RENDIR CUENTA</t>
  </si>
  <si>
    <t>CODIGO Y/O DENOMINACIÓN DE LA CUENTA CONTABLE 1422 PRESTAMO</t>
  </si>
  <si>
    <t>CODIGO Y/O DENOMINACIÓN DE LA CUENTA CONTABLE 1612 PRESTAMO SIN GARANTIA</t>
  </si>
  <si>
    <t>POR LA PROVISION DE LOS INTERESES</t>
  </si>
  <si>
    <t>CODIGO Y/O DENOMINACIÓN DE LA CUENTA CONTABLE 2011 MERCADERIAS</t>
  </si>
  <si>
    <t>CODIGO Y/O DENOMINACIÓN DE LA CUENTA CONTABLE 3331 TERRENOS</t>
  </si>
  <si>
    <t>CODIGO Y/O DENOMINACIÓN DE LA CUENTA CONTABLE 3351 MUEBLES Y ENSERES</t>
  </si>
  <si>
    <t>CODIGO Y/O DENOMINACIÓN DE LA CUENTA CONTABLE 3361 EQUIPOS DIVERSOS</t>
  </si>
  <si>
    <t>CODIGO Y/O DENOMINACIÓN DE LA CUENTA CONTABLE 3392 TRABAJOS EN CURSO</t>
  </si>
  <si>
    <t>CODIGO Y/O DENOMINACIÓN DE LA CUENTA CONTABLE 3911 DEPRECIACION</t>
  </si>
  <si>
    <t>CODIGO Y/O DENOMINACIÓN DE LA CUENTA CONTABLE 4011 IGV</t>
  </si>
  <si>
    <t>CODIGO Y/O DENOMINACIÓN DE LA CUENTA CONTABLE 40113 IGV PERCEPCIONES</t>
  </si>
  <si>
    <t>CODIGO Y/O DENOMINACIÓN DE LA CUENTA CONTABLE 40114 IGV RETENCIONES</t>
  </si>
  <si>
    <t>CODIGO Y/O DENOMINACIÓN DE LA CUENTA CONTABLE 40171 RENTA DE TERCERA</t>
  </si>
  <si>
    <t>CODIGO Y/O DENOMINACIÓN DE LA CUENTA CONTABLE 40173 RENTA DE QUINTA</t>
  </si>
  <si>
    <t>CODIGO Y/O DENOMINACIÓN DE LA CUENTA CONTABLE 40186 ITAN</t>
  </si>
  <si>
    <t>CODIGO Y/O DENOMINACIÓN DE LA CUENTA CONTABLE 4031 ESSALUD</t>
  </si>
  <si>
    <t>CODIGO Y/O DENOMINACIÓN DE LA CUENTA CONTABLE 4032 SNP</t>
  </si>
  <si>
    <t>CODIGO Y/O DENOMINACIÓN DE LA CUENTA CONTABLE 4071 AFP</t>
  </si>
  <si>
    <t>CODIGO Y/O DENOMINACIÓN DE LA CUENTA CONTABLE 4111 SUELDOS Y SALARIOS POR PAGAR</t>
  </si>
  <si>
    <t>CODIGO Y/O DENOMINACIÓN DE LA CUENTA CONTABLE 4114 GRATIFICACIONES POR PAGAR</t>
  </si>
  <si>
    <t>CODIGO Y/O DENOMINACIÓN DE LA CUENTA CONTABLE 4151 BENEFICIOS SOCIALES</t>
  </si>
  <si>
    <t>CODIGO Y/O DENOMINACIÓN DE LA CUENTA CONTABLE 4191 OTRAS REMUNERACIONES Y PARTICIPACIONES POR PAGAR</t>
  </si>
  <si>
    <t>CODIGO Y/O DENOMINACIÓN DE LA CUENTA CONTABLE 4212 FACTURAS Y BOLETAS POR PAGAR</t>
  </si>
  <si>
    <t>CODIGO Y/O DENOMINACIÓN DE LA CUENTA CONTABLE 4511 PRESTAMO DE INSTITUCIONES FINANCIERAS</t>
  </si>
  <si>
    <t>CODIGO Y/O DENOMINACIÓN DE LA CUENTA CONTABLE 4715 CAPITALIZACION DE PRESTAMO</t>
  </si>
  <si>
    <t>CODIGO Y/O DENOMINACIÓN DE LA CUENTA CONTABLE 4961 INGRESOS DIFERIDOS</t>
  </si>
  <si>
    <t>CODIGO Y/O DENOMINACIÓN DE LA CUENTA CONTABLE 5011 CAPITAL</t>
  </si>
  <si>
    <t>CODIGO Y/O DENOMINACIÓN DE LA CUENTA CONTABLE 5911 RESULTADOS ACUMULADOS</t>
  </si>
  <si>
    <t>CODIGO Y/O DENOMINACIÓN DE LA CUENTA CONTABLE 6011 MERCADERIAS</t>
  </si>
  <si>
    <t>CODIGO Y/O DENOMINACIÓN DE LA CUENTA CONTABLE 6111 MERCADERIAS</t>
  </si>
  <si>
    <t>CODIGO Y/O DENOMINACIÓN DE LA CUENTA CONTABLE 6211 SUELDO</t>
  </si>
  <si>
    <t>CODIGO Y/O DENOMINACIÓN DE LA CUENTA CONTABLE 6251 BONIFICACION</t>
  </si>
  <si>
    <t>CODIGO Y/O DENOMINACIÓN DE LA CUENTA CONTABLE 6252 GRATIFICACION</t>
  </si>
  <si>
    <t>CODIGO Y/O DENOMINACIÓN DE LA CUENTA CONTABLE 6271 SEGURIDAD Y PREVISION SOCIAL</t>
  </si>
  <si>
    <t>CODIGO Y/O DENOMINACIÓN DE LA CUENTA CONTABLE 6311 TRANSPORTES</t>
  </si>
  <si>
    <t>CODIGO Y/O DENOMINACIÓN DE LA CUENTA CONTABLE 6313 ALOJAMIENTO</t>
  </si>
  <si>
    <t>CODIGO Y/O DENOMINACIÓN DE LA CUENTA CONTABLE 6314 ALIMENTACION</t>
  </si>
  <si>
    <t>CODIGO Y/O DENOMINACIÓN DE LA CUENTA CONTABLE 6321 HONORARIOS</t>
  </si>
  <si>
    <t>CODIGO Y/O DENOMINACIÓN DE LA CUENTA CONTABLE 6343 MANTENIMIENTO Y REPARACION</t>
  </si>
  <si>
    <t>CODIGO Y/O DENOMINACIÓN DE LA CUENTA CONTABLE 6361 ENERGIA ELECTRICA</t>
  </si>
  <si>
    <t>CODIGO Y/O DENOMINACIÓN DE LA CUENTA CONTABLE 6364 TELEFONO</t>
  </si>
  <si>
    <t>CODIGO Y/O DENOMINACIÓN DE LA CUENTA CONTABLE 6511 SEGUROS</t>
  </si>
  <si>
    <t>CODIGO Y/O DENOMINACIÓN DE LA CUENTA CONTABLE 6592 SANCIONES ADMINISTRATIVAS</t>
  </si>
  <si>
    <t>CODIGO Y/O DENOMINACIÓN DE LA CUENTA CONTABLE 6593 OTROS GASTOS ADMINISTRATIVOS</t>
  </si>
  <si>
    <t>CODIGO Y/O DENOMINACIÓN DE LA CUENTA CONTABLE 6731 INTERESES Y GASTOS DE PRESTAMO</t>
  </si>
  <si>
    <t>CODIGO Y/O DENOMINACIÓN DE LA CUENTA CONTABLE 7011 MERCADERIAS</t>
  </si>
  <si>
    <t>CODIGO Y/O DENOMINACIÓN DE LA CUENTA CONTABLE 7911 CARGAS IMP A CTA DE COSTOS</t>
  </si>
  <si>
    <t>POR LA TRANSF. DE LA CLASE 6 AL CENTRO DE COSTO</t>
  </si>
  <si>
    <t>CODIGO Y/O DENOMINACIÓN DE LA CUENTA CONTABLE 9411 GASTOS ADMINISTRATIVOS</t>
  </si>
  <si>
    <t>FACTURAS Y BOLETAS POR COBRAR</t>
  </si>
  <si>
    <t>IMPUESTO GENERAL A LAS VENTAS</t>
  </si>
  <si>
    <t>MERCADERIAS</t>
  </si>
  <si>
    <t>CAJA</t>
  </si>
  <si>
    <t>INTERESES Y GASTOS DE PRESTAMOS</t>
  </si>
  <si>
    <t>CARGAS IMP. A CTA. DE COSTOS</t>
  </si>
  <si>
    <t>BANCO CONTINENTAL</t>
  </si>
  <si>
    <t>dolares</t>
  </si>
  <si>
    <t>LETRA</t>
  </si>
  <si>
    <t>VENCIMIENTO</t>
  </si>
  <si>
    <t>MONTO</t>
  </si>
  <si>
    <t>SALDO</t>
  </si>
  <si>
    <t>CANCELADO</t>
  </si>
  <si>
    <t>Pendiente</t>
  </si>
  <si>
    <t>960007503389</t>
  </si>
  <si>
    <t>960007504182</t>
  </si>
  <si>
    <t>9600073979</t>
  </si>
  <si>
    <t>960007437184</t>
  </si>
  <si>
    <t>96000760648</t>
  </si>
  <si>
    <t>9600076366</t>
  </si>
  <si>
    <t>9600077168</t>
  </si>
  <si>
    <t>9600072107</t>
  </si>
  <si>
    <t>POR EL INGRESO DE PRESTAMO</t>
  </si>
  <si>
    <t>SUELDO</t>
  </si>
  <si>
    <t>SEGURIDAD Y PREVISION SOCIAL</t>
  </si>
  <si>
    <t>RENTA DE QUINTA CATEGORIA</t>
  </si>
  <si>
    <t>ESSALUD</t>
  </si>
  <si>
    <t>SISTEMA NACIONAL DE PENSIONES</t>
  </si>
  <si>
    <t>AFP</t>
  </si>
  <si>
    <t>SUELDOS Y SALARIOS POR PAGAR</t>
  </si>
  <si>
    <t>GASTOS ADMINISTRATIVOS</t>
  </si>
  <si>
    <t>POR PROVISION DE LA PLANILLA</t>
  </si>
  <si>
    <t>FECHA DE 
PAGO</t>
  </si>
  <si>
    <t>Diciembre 2,012</t>
  </si>
  <si>
    <t>HORIZONTE</t>
  </si>
  <si>
    <t>PRIMA</t>
  </si>
  <si>
    <t>PROFUTURO</t>
  </si>
  <si>
    <t>Enero 2,013</t>
  </si>
  <si>
    <t>Febrero 2,013</t>
  </si>
  <si>
    <t>Marzo 2,013</t>
  </si>
  <si>
    <t>Abril 2,013</t>
  </si>
  <si>
    <t>Mayo 2,013</t>
  </si>
  <si>
    <t>Junio 2,013</t>
  </si>
  <si>
    <t>Julio 2,013</t>
  </si>
  <si>
    <t>Agosto 2,013</t>
  </si>
  <si>
    <t>POR LA PROVISION DE LAS COMPRAS</t>
  </si>
  <si>
    <t>INTERES DIFERIDOS</t>
  </si>
  <si>
    <t>TRANSPORTES</t>
  </si>
  <si>
    <t>ALOJAMIENTO</t>
  </si>
  <si>
    <t>ALIMENTACION</t>
  </si>
  <si>
    <t>SEGUROS</t>
  </si>
  <si>
    <t>RENTA DE TERCERA CATEGORIA</t>
  </si>
  <si>
    <t>TELEFONO</t>
  </si>
  <si>
    <t>SALDOS</t>
  </si>
  <si>
    <t>PRESTAMOS DE INST FINANCIERAS</t>
  </si>
  <si>
    <t>POR EL INGRESO DE PRESTAMO A CAJA</t>
  </si>
  <si>
    <t>EMITIDAS</t>
  </si>
  <si>
    <t>POR LOS EGRESOS DE CAJA</t>
  </si>
  <si>
    <t>CODIGO Y/O DENOMINACIÓN DE LA CUENTA CONTABLE 3731 INTERESES DIFERIDOS</t>
  </si>
  <si>
    <t>CODIGO Y/O DENOMINACIÓN DE LA CUENTA CONTABLE 6354 ALQUILER</t>
  </si>
  <si>
    <t>CODIGO Y/O DENOMINACIÓN DE LA CUENTA CONTABLE 3341 UNIDADES DE TRANSPORTES</t>
  </si>
  <si>
    <t>codigo</t>
  </si>
  <si>
    <t>SUMAS DEL MAYOR</t>
  </si>
  <si>
    <t>AJUSTES</t>
  </si>
  <si>
    <t>INVENTARIO</t>
  </si>
  <si>
    <t>POR NATURALEZA</t>
  </si>
  <si>
    <t>POR FUNCION</t>
  </si>
  <si>
    <t>P.C.G.E.</t>
  </si>
  <si>
    <t>DETALLE</t>
  </si>
  <si>
    <t xml:space="preserve">DEBE </t>
  </si>
  <si>
    <t xml:space="preserve">DEUDOR </t>
  </si>
  <si>
    <t xml:space="preserve">ACTIVO </t>
  </si>
  <si>
    <t>PASIVO</t>
  </si>
  <si>
    <t>PERDIDA</t>
  </si>
  <si>
    <t>GANANCIA</t>
  </si>
  <si>
    <t xml:space="preserve">PERDIDA </t>
  </si>
  <si>
    <t>02</t>
  </si>
  <si>
    <t>04</t>
  </si>
  <si>
    <t>06</t>
  </si>
  <si>
    <t>08</t>
  </si>
  <si>
    <t>09</t>
  </si>
  <si>
    <t>10</t>
  </si>
  <si>
    <t>PAGO DE CUOTA DE PRESTAMO</t>
  </si>
  <si>
    <t>SANCIONES ADMINISTRATIVAS Y FISCALES</t>
  </si>
  <si>
    <r>
      <t>PERÍODO:</t>
    </r>
    <r>
      <rPr>
        <sz val="11"/>
        <rFont val="Arial"/>
        <family val="2"/>
      </rPr>
      <t xml:space="preserve"> SETIEMBRE 2013</t>
    </r>
  </si>
  <si>
    <r>
      <t>PERÍODO:</t>
    </r>
    <r>
      <rPr>
        <sz val="9"/>
        <rFont val="Arial"/>
        <family val="2"/>
      </rPr>
      <t xml:space="preserve"> SETIEMBRE 2013</t>
    </r>
  </si>
  <si>
    <t>9600077893</t>
  </si>
  <si>
    <t>201309</t>
  </si>
  <si>
    <t>590020610</t>
  </si>
  <si>
    <t>01/10/2013</t>
  </si>
  <si>
    <t>590020618</t>
  </si>
  <si>
    <t>07/10/2013</t>
  </si>
  <si>
    <t>590020790</t>
  </si>
  <si>
    <t>18/10/2013</t>
  </si>
  <si>
    <t>3042</t>
  </si>
  <si>
    <t xml:space="preserve">RENTA 4TA. CATEG. RETENCIONES  </t>
  </si>
  <si>
    <t>590020791</t>
  </si>
  <si>
    <t>590020792</t>
  </si>
  <si>
    <t>590020794</t>
  </si>
  <si>
    <t>21/10/2013</t>
  </si>
  <si>
    <t>590020795</t>
  </si>
  <si>
    <t>590020796</t>
  </si>
  <si>
    <t>760265556</t>
  </si>
  <si>
    <t>785271382</t>
  </si>
  <si>
    <t>590020564</t>
  </si>
  <si>
    <t>26/09/2013</t>
  </si>
  <si>
    <t>590020598</t>
  </si>
  <si>
    <t>30/09/2013</t>
  </si>
  <si>
    <t>590020599</t>
  </si>
  <si>
    <t>590020600</t>
  </si>
  <si>
    <t>590020601</t>
  </si>
  <si>
    <t xml:space="preserve">PAGO DE MULTA ONP -RETENCION O PERC. NO PAG  </t>
  </si>
  <si>
    <t>PAGO A PROVEEDORES</t>
  </si>
  <si>
    <t>POR LAS VENTAS DEL DIA</t>
  </si>
  <si>
    <t>PERÍODO: 09 / 2013</t>
  </si>
  <si>
    <t>POR LAS RETENCIONES DEL IGV DEL PERIODO</t>
  </si>
  <si>
    <t>IGV - RÉGIMEN DE RETENCIONES</t>
  </si>
  <si>
    <t>PAGO DE REMUNERACIONES</t>
  </si>
  <si>
    <t>EQUIPOS DIVERSOS</t>
  </si>
  <si>
    <t>IGV - RÉGIMEN DE PERCEPCIONES</t>
  </si>
  <si>
    <t>MANTENIMIENTO</t>
  </si>
  <si>
    <t>OTROS GASTOS ADMINISTRATIVOS</t>
  </si>
  <si>
    <t>ALQUILER</t>
  </si>
  <si>
    <t>POR EL INGRESO DE MERCADERIAS AL ALMACEN</t>
  </si>
  <si>
    <t>POR LA PROVISION DE LA PLANILLA</t>
  </si>
  <si>
    <t>HOJA DE TRABAJO  2013</t>
  </si>
  <si>
    <t>03</t>
  </si>
  <si>
    <t>05</t>
  </si>
  <si>
    <t>07</t>
  </si>
  <si>
    <t>PAGO DE INTERESES DE PRESTAMO</t>
  </si>
  <si>
    <t>POR LA COMPENSACION DEL IMPUESTO</t>
  </si>
  <si>
    <t>POR LA COMPENSACION DEL IGV</t>
  </si>
  <si>
    <t>11</t>
  </si>
  <si>
    <t>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</si>
</sst>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0" formatCode="#,##0.00;[Red]#,##0.00"/>
    <numFmt numFmtId="171" formatCode="#,##0.00_ ;[Red]\-#,##0.00\ "/>
    <numFmt numFmtId="172" formatCode="#,##0.000"/>
  </numFmts>
  <fonts count="34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u/>
      <sz val="18"/>
      <name val="Arial"/>
      <family val="2"/>
    </font>
    <font>
      <b/>
      <sz val="10"/>
      <name val="Arial"/>
      <family val="2"/>
    </font>
    <font>
      <u/>
      <sz val="9"/>
      <name val="Arial"/>
      <family val="2"/>
    </font>
    <font>
      <sz val="9"/>
      <name val="Calibri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70C0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top"/>
    </xf>
    <xf numFmtId="0" fontId="20" fillId="0" borderId="0"/>
    <xf numFmtId="0" fontId="4" fillId="0" borderId="0"/>
  </cellStyleXfs>
  <cellXfs count="27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5" fillId="2" borderId="0" xfId="0" applyFont="1" applyFill="1"/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70" fontId="4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0" fontId="4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70" fontId="4" fillId="2" borderId="0" xfId="0" applyNumberFormat="1" applyFont="1" applyFill="1" applyBorder="1" applyAlignment="1">
      <alignment horizontal="right"/>
    </xf>
    <xf numFmtId="170" fontId="4" fillId="2" borderId="2" xfId="0" applyNumberFormat="1" applyFont="1" applyFill="1" applyBorder="1" applyAlignment="1">
      <alignment horizontal="right"/>
    </xf>
    <xf numFmtId="0" fontId="2" fillId="2" borderId="2" xfId="0" applyFont="1" applyFill="1" applyBorder="1"/>
    <xf numFmtId="4" fontId="6" fillId="0" borderId="1" xfId="0" applyNumberFormat="1" applyFont="1" applyFill="1" applyBorder="1"/>
    <xf numFmtId="4" fontId="22" fillId="0" borderId="1" xfId="0" applyNumberFormat="1" applyFont="1" applyFill="1" applyBorder="1"/>
    <xf numFmtId="4" fontId="22" fillId="2" borderId="1" xfId="0" applyNumberFormat="1" applyFont="1" applyFill="1" applyBorder="1"/>
    <xf numFmtId="0" fontId="23" fillId="2" borderId="1" xfId="0" applyFont="1" applyFill="1" applyBorder="1"/>
    <xf numFmtId="4" fontId="23" fillId="0" borderId="1" xfId="0" applyNumberFormat="1" applyFont="1" applyFill="1" applyBorder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>
      <alignment horizontal="center"/>
    </xf>
    <xf numFmtId="4" fontId="6" fillId="0" borderId="0" xfId="0" applyNumberFormat="1" applyFont="1" applyFill="1" applyAlignment="1"/>
    <xf numFmtId="4" fontId="8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right"/>
    </xf>
    <xf numFmtId="49" fontId="8" fillId="0" borderId="4" xfId="0" applyNumberFormat="1" applyFont="1" applyFill="1" applyBorder="1" applyAlignment="1">
      <alignment horizontal="center"/>
    </xf>
    <xf numFmtId="4" fontId="8" fillId="0" borderId="4" xfId="0" applyNumberFormat="1" applyFont="1" applyFill="1" applyBorder="1" applyAlignment="1"/>
    <xf numFmtId="4" fontId="6" fillId="0" borderId="4" xfId="0" applyNumberFormat="1" applyFont="1" applyFill="1" applyBorder="1" applyAlignment="1"/>
    <xf numFmtId="49" fontId="6" fillId="0" borderId="1" xfId="0" applyNumberFormat="1" applyFont="1" applyFill="1" applyBorder="1" applyAlignment="1">
      <alignment horizontal="center"/>
    </xf>
    <xf numFmtId="4" fontId="24" fillId="5" borderId="1" xfId="0" applyNumberFormat="1" applyFont="1" applyFill="1" applyBorder="1"/>
    <xf numFmtId="4" fontId="24" fillId="0" borderId="1" xfId="0" applyNumberFormat="1" applyFont="1" applyBorder="1"/>
    <xf numFmtId="49" fontId="6" fillId="5" borderId="1" xfId="0" applyNumberFormat="1" applyFont="1" applyFill="1" applyBorder="1" applyAlignment="1">
      <alignment horizontal="center"/>
    </xf>
    <xf numFmtId="4" fontId="6" fillId="5" borderId="1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left" wrapText="1"/>
    </xf>
    <xf numFmtId="4" fontId="6" fillId="0" borderId="5" xfId="0" applyNumberFormat="1" applyFont="1" applyFill="1" applyBorder="1"/>
    <xf numFmtId="4" fontId="6" fillId="0" borderId="4" xfId="0" applyNumberFormat="1" applyFont="1" applyFill="1" applyBorder="1"/>
    <xf numFmtId="0" fontId="8" fillId="0" borderId="1" xfId="0" applyFont="1" applyFill="1" applyBorder="1" applyAlignment="1">
      <alignment horizontal="left" wrapText="1"/>
    </xf>
    <xf numFmtId="4" fontId="8" fillId="0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4" fontId="25" fillId="0" borderId="1" xfId="0" applyNumberFormat="1" applyFont="1" applyBorder="1"/>
    <xf numFmtId="0" fontId="8" fillId="0" borderId="0" xfId="0" applyFont="1" applyFill="1"/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6" fillId="0" borderId="0" xfId="0" applyFont="1" applyFill="1"/>
    <xf numFmtId="0" fontId="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8" fillId="0" borderId="4" xfId="0" applyFont="1" applyFill="1" applyBorder="1"/>
    <xf numFmtId="4" fontId="8" fillId="0" borderId="4" xfId="0" applyNumberFormat="1" applyFont="1" applyFill="1" applyBorder="1"/>
    <xf numFmtId="14" fontId="6" fillId="0" borderId="4" xfId="0" applyNumberFormat="1" applyFont="1" applyFill="1" applyBorder="1"/>
    <xf numFmtId="0" fontId="26" fillId="0" borderId="1" xfId="0" applyFont="1" applyFill="1" applyBorder="1"/>
    <xf numFmtId="171" fontId="6" fillId="0" borderId="1" xfId="0" applyNumberFormat="1" applyFont="1" applyFill="1" applyBorder="1"/>
    <xf numFmtId="171" fontId="6" fillId="0" borderId="6" xfId="0" applyNumberFormat="1" applyFont="1" applyFill="1" applyBorder="1"/>
    <xf numFmtId="0" fontId="8" fillId="0" borderId="1" xfId="0" applyFont="1" applyFill="1" applyBorder="1"/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171" fontId="8" fillId="0" borderId="3" xfId="0" applyNumberFormat="1" applyFont="1" applyFill="1" applyBorder="1"/>
    <xf numFmtId="0" fontId="0" fillId="0" borderId="0" xfId="0" applyFill="1"/>
    <xf numFmtId="14" fontId="8" fillId="0" borderId="0" xfId="0" applyNumberFormat="1" applyFont="1" applyFill="1"/>
    <xf numFmtId="0" fontId="6" fillId="0" borderId="4" xfId="0" applyFont="1" applyFill="1" applyBorder="1"/>
    <xf numFmtId="0" fontId="26" fillId="0" borderId="0" xfId="0" applyFont="1" applyFill="1"/>
    <xf numFmtId="0" fontId="6" fillId="0" borderId="1" xfId="0" applyFont="1" applyFill="1" applyBorder="1" applyAlignment="1">
      <alignment horizontal="left" vertical="center" wrapText="1"/>
    </xf>
    <xf numFmtId="171" fontId="8" fillId="0" borderId="4" xfId="0" applyNumberFormat="1" applyFont="1" applyFill="1" applyBorder="1"/>
    <xf numFmtId="0" fontId="0" fillId="6" borderId="0" xfId="0" applyFill="1"/>
    <xf numFmtId="4" fontId="27" fillId="0" borderId="1" xfId="0" applyNumberFormat="1" applyFont="1" applyBorder="1"/>
    <xf numFmtId="4" fontId="6" fillId="0" borderId="7" xfId="0" applyNumberFormat="1" applyFont="1" applyFill="1" applyBorder="1"/>
    <xf numFmtId="171" fontId="8" fillId="0" borderId="7" xfId="0" applyNumberFormat="1" applyFont="1" applyFill="1" applyBorder="1"/>
    <xf numFmtId="0" fontId="0" fillId="5" borderId="0" xfId="0" applyFill="1"/>
    <xf numFmtId="171" fontId="0" fillId="0" borderId="0" xfId="0" applyNumberFormat="1"/>
    <xf numFmtId="171" fontId="6" fillId="0" borderId="4" xfId="0" applyNumberFormat="1" applyFont="1" applyFill="1" applyBorder="1"/>
    <xf numFmtId="171" fontId="6" fillId="0" borderId="6" xfId="0" applyNumberFormat="1" applyFont="1" applyFill="1" applyBorder="1" applyAlignment="1">
      <alignment horizontal="right"/>
    </xf>
    <xf numFmtId="171" fontId="8" fillId="0" borderId="0" xfId="0" applyNumberFormat="1" applyFont="1" applyFill="1" applyBorder="1"/>
    <xf numFmtId="0" fontId="0" fillId="0" borderId="1" xfId="0" applyFill="1" applyBorder="1"/>
    <xf numFmtId="171" fontId="6" fillId="0" borderId="1" xfId="0" applyNumberFormat="1" applyFont="1" applyFill="1" applyBorder="1" applyAlignment="1">
      <alignment horizontal="right"/>
    </xf>
    <xf numFmtId="0" fontId="21" fillId="0" borderId="4" xfId="0" applyFont="1" applyFill="1" applyBorder="1"/>
    <xf numFmtId="171" fontId="6" fillId="0" borderId="7" xfId="0" applyNumberFormat="1" applyFont="1" applyFill="1" applyBorder="1"/>
    <xf numFmtId="14" fontId="28" fillId="0" borderId="4" xfId="0" applyNumberFormat="1" applyFont="1" applyFill="1" applyBorder="1"/>
    <xf numFmtId="171" fontId="0" fillId="0" borderId="0" xfId="0" applyNumberFormat="1" applyFill="1"/>
    <xf numFmtId="4" fontId="0" fillId="0" borderId="0" xfId="0" applyNumberFormat="1" applyFill="1"/>
    <xf numFmtId="0" fontId="6" fillId="0" borderId="0" xfId="0" applyFont="1" applyFill="1" applyBorder="1" applyAlignment="1">
      <alignment horizontal="left" vertical="center" wrapText="1"/>
    </xf>
    <xf numFmtId="4" fontId="0" fillId="0" borderId="0" xfId="0" applyNumberFormat="1"/>
    <xf numFmtId="4" fontId="6" fillId="0" borderId="4" xfId="0" applyNumberFormat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right"/>
    </xf>
    <xf numFmtId="0" fontId="6" fillId="0" borderId="1" xfId="1" applyFont="1" applyFill="1" applyBorder="1" applyAlignment="1"/>
    <xf numFmtId="0" fontId="29" fillId="0" borderId="0" xfId="0" applyFont="1" applyFill="1"/>
    <xf numFmtId="0" fontId="29" fillId="0" borderId="0" xfId="0" applyFont="1"/>
    <xf numFmtId="14" fontId="0" fillId="0" borderId="0" xfId="0" applyNumberFormat="1"/>
    <xf numFmtId="172" fontId="0" fillId="0" borderId="1" xfId="0" applyNumberFormat="1" applyFill="1" applyBorder="1"/>
    <xf numFmtId="4" fontId="29" fillId="0" borderId="1" xfId="0" applyNumberFormat="1" applyFont="1" applyFill="1" applyBorder="1"/>
    <xf numFmtId="4" fontId="29" fillId="0" borderId="1" xfId="0" applyNumberFormat="1" applyFont="1" applyBorder="1"/>
    <xf numFmtId="4" fontId="29" fillId="0" borderId="0" xfId="0" applyNumberFormat="1" applyFont="1"/>
    <xf numFmtId="4" fontId="29" fillId="0" borderId="0" xfId="0" applyNumberFormat="1" applyFont="1" applyFill="1"/>
    <xf numFmtId="14" fontId="29" fillId="0" borderId="0" xfId="0" applyNumberFormat="1" applyFont="1" applyFill="1"/>
    <xf numFmtId="0" fontId="29" fillId="0" borderId="1" xfId="0" applyFont="1" applyFill="1" applyBorder="1"/>
    <xf numFmtId="14" fontId="29" fillId="0" borderId="1" xfId="0" applyNumberFormat="1" applyFont="1" applyFill="1" applyBorder="1"/>
    <xf numFmtId="14" fontId="29" fillId="6" borderId="1" xfId="0" applyNumberFormat="1" applyFont="1" applyFill="1" applyBorder="1"/>
    <xf numFmtId="4" fontId="29" fillId="6" borderId="1" xfId="0" applyNumberFormat="1" applyFont="1" applyFill="1" applyBorder="1"/>
    <xf numFmtId="0" fontId="29" fillId="6" borderId="0" xfId="0" applyFont="1" applyFill="1"/>
    <xf numFmtId="14" fontId="29" fillId="6" borderId="1" xfId="0" applyNumberFormat="1" applyFont="1" applyFill="1" applyBorder="1" applyAlignment="1">
      <alignment wrapText="1"/>
    </xf>
    <xf numFmtId="14" fontId="29" fillId="0" borderId="1" xfId="0" applyNumberFormat="1" applyFont="1" applyFill="1" applyBorder="1" applyAlignment="1">
      <alignment wrapText="1"/>
    </xf>
    <xf numFmtId="4" fontId="25" fillId="0" borderId="1" xfId="0" applyNumberFormat="1" applyFont="1" applyFill="1" applyBorder="1"/>
    <xf numFmtId="4" fontId="29" fillId="0" borderId="1" xfId="0" applyNumberFormat="1" applyFont="1" applyFill="1" applyBorder="1" applyAlignment="1">
      <alignment wrapText="1"/>
    </xf>
    <xf numFmtId="172" fontId="29" fillId="0" borderId="7" xfId="0" applyNumberFormat="1" applyFont="1" applyFill="1" applyBorder="1"/>
    <xf numFmtId="4" fontId="29" fillId="6" borderId="1" xfId="0" applyNumberFormat="1" applyFont="1" applyFill="1" applyBorder="1" applyAlignment="1">
      <alignment wrapText="1"/>
    </xf>
    <xf numFmtId="172" fontId="29" fillId="6" borderId="7" xfId="0" applyNumberFormat="1" applyFont="1" applyFill="1" applyBorder="1"/>
    <xf numFmtId="14" fontId="29" fillId="0" borderId="0" xfId="0" applyNumberFormat="1" applyFont="1" applyFill="1" applyBorder="1"/>
    <xf numFmtId="4" fontId="25" fillId="0" borderId="0" xfId="0" applyNumberFormat="1" applyFont="1" applyFill="1" applyBorder="1"/>
    <xf numFmtId="0" fontId="29" fillId="0" borderId="0" xfId="0" applyFont="1" applyFill="1" applyBorder="1"/>
    <xf numFmtId="4" fontId="29" fillId="0" borderId="0" xfId="0" applyNumberFormat="1" applyFont="1" applyFill="1" applyBorder="1"/>
    <xf numFmtId="4" fontId="29" fillId="0" borderId="8" xfId="0" applyNumberFormat="1" applyFont="1" applyFill="1" applyBorder="1"/>
    <xf numFmtId="0" fontId="29" fillId="0" borderId="1" xfId="0" applyFont="1" applyBorder="1"/>
    <xf numFmtId="4" fontId="29" fillId="0" borderId="7" xfId="0" applyNumberFormat="1" applyFont="1" applyFill="1" applyBorder="1"/>
    <xf numFmtId="14" fontId="30" fillId="0" borderId="1" xfId="0" applyNumberFormat="1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14" fontId="30" fillId="0" borderId="0" xfId="0" applyNumberFormat="1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4" fontId="29" fillId="6" borderId="0" xfId="0" applyNumberFormat="1" applyFont="1" applyFill="1"/>
    <xf numFmtId="4" fontId="30" fillId="0" borderId="1" xfId="0" applyNumberFormat="1" applyFont="1" applyFill="1" applyBorder="1" applyAlignment="1">
      <alignment wrapText="1"/>
    </xf>
    <xf numFmtId="49" fontId="29" fillId="0" borderId="0" xfId="0" applyNumberFormat="1" applyFont="1" applyFill="1" applyAlignment="1">
      <alignment horizontal="right"/>
    </xf>
    <xf numFmtId="0" fontId="29" fillId="0" borderId="0" xfId="0" applyFont="1" applyBorder="1"/>
    <xf numFmtId="4" fontId="29" fillId="0" borderId="0" xfId="0" applyNumberFormat="1" applyFont="1" applyBorder="1"/>
    <xf numFmtId="4" fontId="31" fillId="2" borderId="0" xfId="0" applyNumberFormat="1" applyFont="1" applyFill="1"/>
    <xf numFmtId="4" fontId="4" fillId="2" borderId="1" xfId="0" applyNumberFormat="1" applyFont="1" applyFill="1" applyBorder="1"/>
    <xf numFmtId="4" fontId="15" fillId="2" borderId="1" xfId="0" applyNumberFormat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4" fontId="15" fillId="2" borderId="0" xfId="0" applyNumberFormat="1" applyFont="1" applyFill="1"/>
    <xf numFmtId="14" fontId="29" fillId="0" borderId="6" xfId="0" applyNumberFormat="1" applyFont="1" applyFill="1" applyBorder="1"/>
    <xf numFmtId="4" fontId="25" fillId="0" borderId="0" xfId="0" applyNumberFormat="1" applyFont="1" applyFill="1"/>
    <xf numFmtId="14" fontId="25" fillId="0" borderId="0" xfId="0" applyNumberFormat="1" applyFont="1" applyFill="1"/>
    <xf numFmtId="4" fontId="4" fillId="0" borderId="0" xfId="0" applyNumberFormat="1" applyFont="1" applyFill="1"/>
    <xf numFmtId="0" fontId="4" fillId="0" borderId="0" xfId="0" applyFont="1" applyFill="1"/>
    <xf numFmtId="0" fontId="4" fillId="7" borderId="0" xfId="0" applyFont="1" applyFill="1"/>
    <xf numFmtId="4" fontId="15" fillId="0" borderId="1" xfId="0" applyNumberFormat="1" applyFont="1" applyFill="1" applyBorder="1"/>
    <xf numFmtId="0" fontId="25" fillId="0" borderId="0" xfId="0" applyFont="1" applyFill="1"/>
    <xf numFmtId="0" fontId="25" fillId="0" borderId="0" xfId="0" applyFont="1"/>
    <xf numFmtId="14" fontId="0" fillId="6" borderId="1" xfId="0" applyNumberFormat="1" applyFill="1" applyBorder="1"/>
    <xf numFmtId="4" fontId="0" fillId="6" borderId="1" xfId="0" applyNumberFormat="1" applyFill="1" applyBorder="1"/>
    <xf numFmtId="172" fontId="0" fillId="6" borderId="1" xfId="0" applyNumberFormat="1" applyFill="1" applyBorder="1"/>
    <xf numFmtId="14" fontId="0" fillId="0" borderId="1" xfId="0" applyNumberFormat="1" applyFill="1" applyBorder="1"/>
    <xf numFmtId="4" fontId="0" fillId="0" borderId="1" xfId="0" applyNumberFormat="1" applyFill="1" applyBorder="1"/>
    <xf numFmtId="0" fontId="29" fillId="6" borderId="1" xfId="0" applyFont="1" applyFill="1" applyBorder="1"/>
    <xf numFmtId="4" fontId="2" fillId="2" borderId="0" xfId="0" applyNumberFormat="1" applyFont="1" applyFill="1"/>
    <xf numFmtId="4" fontId="4" fillId="2" borderId="0" xfId="0" applyNumberFormat="1" applyFont="1" applyFill="1"/>
    <xf numFmtId="49" fontId="25" fillId="0" borderId="0" xfId="0" applyNumberFormat="1" applyFont="1" applyFill="1" applyAlignment="1">
      <alignment horizontal="right"/>
    </xf>
    <xf numFmtId="0" fontId="4" fillId="2" borderId="1" xfId="0" applyFont="1" applyFill="1" applyBorder="1"/>
    <xf numFmtId="0" fontId="2" fillId="0" borderId="0" xfId="0" applyFont="1" applyFill="1"/>
    <xf numFmtId="0" fontId="1" fillId="2" borderId="0" xfId="0" applyFont="1" applyFill="1"/>
    <xf numFmtId="4" fontId="15" fillId="0" borderId="0" xfId="0" applyNumberFormat="1" applyFont="1" applyFill="1"/>
    <xf numFmtId="0" fontId="31" fillId="6" borderId="1" xfId="0" applyFont="1" applyFill="1" applyBorder="1" applyAlignment="1">
      <alignment wrapText="1"/>
    </xf>
    <xf numFmtId="14" fontId="31" fillId="6" borderId="1" xfId="0" applyNumberFormat="1" applyFont="1" applyFill="1" applyBorder="1" applyAlignment="1">
      <alignment wrapText="1"/>
    </xf>
    <xf numFmtId="4" fontId="31" fillId="6" borderId="1" xfId="0" applyNumberFormat="1" applyFont="1" applyFill="1" applyBorder="1" applyAlignment="1">
      <alignment wrapText="1"/>
    </xf>
    <xf numFmtId="0" fontId="6" fillId="0" borderId="1" xfId="0" applyFont="1" applyBorder="1"/>
    <xf numFmtId="4" fontId="6" fillId="0" borderId="1" xfId="0" applyNumberFormat="1" applyFont="1" applyBorder="1"/>
    <xf numFmtId="0" fontId="0" fillId="0" borderId="4" xfId="0" applyBorder="1"/>
    <xf numFmtId="0" fontId="6" fillId="0" borderId="4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4" fontId="0" fillId="0" borderId="4" xfId="0" applyNumberFormat="1" applyBorder="1"/>
    <xf numFmtId="14" fontId="0" fillId="0" borderId="4" xfId="0" applyNumberFormat="1" applyBorder="1"/>
    <xf numFmtId="14" fontId="29" fillId="0" borderId="4" xfId="0" applyNumberFormat="1" applyFont="1" applyFill="1" applyBorder="1"/>
    <xf numFmtId="4" fontId="29" fillId="0" borderId="4" xfId="0" applyNumberFormat="1" applyFont="1" applyFill="1" applyBorder="1"/>
    <xf numFmtId="4" fontId="4" fillId="2" borderId="4" xfId="0" applyNumberFormat="1" applyFont="1" applyFill="1" applyBorder="1"/>
    <xf numFmtId="0" fontId="4" fillId="7" borderId="1" xfId="0" applyFont="1" applyFill="1" applyBorder="1"/>
    <xf numFmtId="0" fontId="0" fillId="0" borderId="0" xfId="0" applyBorder="1"/>
    <xf numFmtId="0" fontId="28" fillId="0" borderId="1" xfId="0" applyFont="1" applyFill="1" applyBorder="1"/>
    <xf numFmtId="0" fontId="6" fillId="0" borderId="1" xfId="1" applyFont="1" applyFill="1" applyBorder="1" applyAlignment="1">
      <alignment horizontal="left"/>
    </xf>
    <xf numFmtId="0" fontId="4" fillId="0" borderId="0" xfId="0" applyFont="1"/>
    <xf numFmtId="0" fontId="6" fillId="0" borderId="4" xfId="0" applyFont="1" applyBorder="1"/>
    <xf numFmtId="0" fontId="4" fillId="0" borderId="1" xfId="0" applyFont="1" applyFill="1" applyBorder="1"/>
    <xf numFmtId="0" fontId="6" fillId="0" borderId="2" xfId="0" applyFont="1" applyFill="1" applyBorder="1" applyAlignment="1">
      <alignment horizontal="right"/>
    </xf>
    <xf numFmtId="171" fontId="8" fillId="0" borderId="1" xfId="0" applyNumberFormat="1" applyFont="1" applyFill="1" applyBorder="1"/>
    <xf numFmtId="0" fontId="8" fillId="0" borderId="4" xfId="0" applyFont="1" applyFill="1" applyBorder="1" applyAlignment="1">
      <alignment horizontal="left"/>
    </xf>
    <xf numFmtId="171" fontId="8" fillId="0" borderId="11" xfId="0" applyNumberFormat="1" applyFont="1" applyFill="1" applyBorder="1"/>
    <xf numFmtId="171" fontId="6" fillId="0" borderId="7" xfId="0" applyNumberFormat="1" applyFont="1" applyFill="1" applyBorder="1" applyAlignment="1">
      <alignment horizontal="right"/>
    </xf>
    <xf numFmtId="49" fontId="8" fillId="0" borderId="4" xfId="0" applyNumberFormat="1" applyFont="1" applyFill="1" applyBorder="1"/>
    <xf numFmtId="171" fontId="6" fillId="0" borderId="5" xfId="0" applyNumberFormat="1" applyFont="1" applyFill="1" applyBorder="1"/>
    <xf numFmtId="0" fontId="3" fillId="0" borderId="0" xfId="0" applyFont="1" applyAlignment="1"/>
    <xf numFmtId="0" fontId="5" fillId="0" borderId="0" xfId="0" applyFont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10" xfId="0" applyFont="1" applyBorder="1" applyAlignment="1"/>
    <xf numFmtId="0" fontId="3" fillId="0" borderId="16" xfId="0" applyFont="1" applyFill="1" applyBorder="1" applyAlignment="1">
      <alignment horizontal="center"/>
    </xf>
    <xf numFmtId="0" fontId="5" fillId="0" borderId="4" xfId="0" applyFont="1" applyFill="1" applyBorder="1" applyAlignment="1"/>
    <xf numFmtId="4" fontId="3" fillId="0" borderId="4" xfId="0" applyNumberFormat="1" applyFont="1" applyFill="1" applyBorder="1" applyAlignment="1"/>
    <xf numFmtId="1" fontId="3" fillId="0" borderId="4" xfId="0" applyNumberFormat="1" applyFont="1" applyFill="1" applyBorder="1" applyAlignment="1"/>
    <xf numFmtId="4" fontId="3" fillId="0" borderId="17" xfId="0" applyNumberFormat="1" applyFont="1" applyFill="1" applyBorder="1" applyAlignment="1"/>
    <xf numFmtId="0" fontId="3" fillId="0" borderId="2" xfId="0" applyFont="1" applyFill="1" applyBorder="1" applyAlignment="1">
      <alignment horizontal="center"/>
    </xf>
    <xf numFmtId="0" fontId="5" fillId="0" borderId="1" xfId="0" applyFont="1" applyFill="1" applyBorder="1" applyAlignment="1"/>
    <xf numFmtId="4" fontId="3" fillId="0" borderId="1" xfId="0" applyNumberFormat="1" applyFont="1" applyFill="1" applyBorder="1" applyAlignment="1"/>
    <xf numFmtId="1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4" fontId="32" fillId="0" borderId="1" xfId="0" applyNumberFormat="1" applyFont="1" applyFill="1" applyBorder="1" applyAlignment="1"/>
    <xf numFmtId="4" fontId="3" fillId="0" borderId="18" xfId="0" applyNumberFormat="1" applyFont="1" applyFill="1" applyBorder="1" applyAlignment="1"/>
    <xf numFmtId="43" fontId="18" fillId="0" borderId="1" xfId="0" applyNumberFormat="1" applyFont="1" applyFill="1" applyBorder="1" applyAlignment="1"/>
    <xf numFmtId="4" fontId="18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4" fontId="19" fillId="0" borderId="1" xfId="0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/>
    <xf numFmtId="4" fontId="3" fillId="0" borderId="1" xfId="0" applyNumberFormat="1" applyFont="1" applyBorder="1" applyAlignment="1"/>
    <xf numFmtId="4" fontId="32" fillId="0" borderId="1" xfId="0" applyNumberFormat="1" applyFont="1" applyBorder="1" applyAlignment="1"/>
    <xf numFmtId="1" fontId="3" fillId="4" borderId="1" xfId="0" applyNumberFormat="1" applyFont="1" applyFill="1" applyBorder="1" applyAlignment="1"/>
    <xf numFmtId="4" fontId="3" fillId="0" borderId="4" xfId="0" applyNumberFormat="1" applyFont="1" applyBorder="1" applyAlignment="1"/>
    <xf numFmtId="4" fontId="5" fillId="0" borderId="1" xfId="0" applyNumberFormat="1" applyFont="1" applyBorder="1" applyAlignment="1"/>
    <xf numFmtId="0" fontId="5" fillId="0" borderId="5" xfId="0" applyFont="1" applyBorder="1" applyAlignment="1"/>
    <xf numFmtId="4" fontId="5" fillId="0" borderId="5" xfId="0" applyNumberFormat="1" applyFont="1" applyBorder="1" applyAlignment="1"/>
    <xf numFmtId="4" fontId="3" fillId="0" borderId="5" xfId="0" applyNumberFormat="1" applyFont="1" applyBorder="1" applyAlignment="1"/>
    <xf numFmtId="4" fontId="0" fillId="0" borderId="0" xfId="0" applyNumberFormat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7" fillId="0" borderId="0" xfId="0" applyFont="1" applyFill="1"/>
    <xf numFmtId="0" fontId="1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4" fontId="4" fillId="0" borderId="1" xfId="0" applyNumberFormat="1" applyFont="1" applyFill="1" applyBorder="1"/>
    <xf numFmtId="4" fontId="4" fillId="0" borderId="1" xfId="0" applyNumberFormat="1" applyFont="1" applyFill="1" applyBorder="1"/>
    <xf numFmtId="4" fontId="4" fillId="0" borderId="5" xfId="0" applyNumberFormat="1" applyFont="1" applyFill="1" applyBorder="1"/>
    <xf numFmtId="0" fontId="4" fillId="0" borderId="5" xfId="0" applyFont="1" applyFill="1" applyBorder="1"/>
    <xf numFmtId="0" fontId="15" fillId="0" borderId="1" xfId="0" applyFont="1" applyFill="1" applyBorder="1"/>
    <xf numFmtId="4" fontId="15" fillId="0" borderId="4" xfId="0" applyNumberFormat="1" applyFont="1" applyFill="1" applyBorder="1"/>
    <xf numFmtId="4" fontId="6" fillId="0" borderId="0" xfId="0" applyNumberFormat="1" applyFont="1" applyFill="1" applyBorder="1" applyAlignment="1">
      <alignment horizontal="right"/>
    </xf>
    <xf numFmtId="14" fontId="6" fillId="0" borderId="1" xfId="0" applyNumberFormat="1" applyFont="1" applyBorder="1"/>
    <xf numFmtId="4" fontId="26" fillId="5" borderId="1" xfId="0" applyNumberFormat="1" applyFont="1" applyFill="1" applyBorder="1"/>
    <xf numFmtId="4" fontId="0" fillId="5" borderId="1" xfId="0" applyNumberFormat="1" applyFill="1" applyBorder="1"/>
    <xf numFmtId="0" fontId="4" fillId="0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33" fillId="2" borderId="6" xfId="0" applyFont="1" applyFill="1" applyBorder="1"/>
    <xf numFmtId="0" fontId="4" fillId="2" borderId="1" xfId="3" applyFont="1" applyFill="1" applyBorder="1" applyAlignment="1">
      <alignment horizontal="left"/>
    </xf>
    <xf numFmtId="0" fontId="6" fillId="2" borderId="1" xfId="3" applyFont="1" applyFill="1" applyBorder="1" applyAlignment="1">
      <alignment horizontal="left"/>
    </xf>
    <xf numFmtId="170" fontId="4" fillId="2" borderId="1" xfId="3" applyNumberFormat="1" applyFont="1" applyFill="1" applyBorder="1" applyAlignment="1">
      <alignment horizontal="right"/>
    </xf>
    <xf numFmtId="0" fontId="4" fillId="2" borderId="1" xfId="3" applyFont="1" applyFill="1" applyBorder="1" applyAlignment="1">
      <alignment horizontal="right"/>
    </xf>
    <xf numFmtId="14" fontId="6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171" fontId="8" fillId="0" borderId="6" xfId="0" applyNumberFormat="1" applyFont="1" applyFill="1" applyBorder="1" applyAlignment="1">
      <alignment horizontal="right"/>
    </xf>
    <xf numFmtId="171" fontId="8" fillId="0" borderId="6" xfId="0" applyNumberFormat="1" applyFont="1" applyFill="1" applyBorder="1"/>
    <xf numFmtId="0" fontId="6" fillId="6" borderId="1" xfId="0" applyFont="1" applyFill="1" applyBorder="1"/>
    <xf numFmtId="4" fontId="6" fillId="6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left" vertical="center" wrapText="1"/>
    </xf>
    <xf numFmtId="4" fontId="6" fillId="0" borderId="6" xfId="0" applyNumberFormat="1" applyFont="1" applyFill="1" applyBorder="1"/>
    <xf numFmtId="0" fontId="8" fillId="0" borderId="1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" fontId="8" fillId="0" borderId="9" xfId="0" applyNumberFormat="1" applyFont="1" applyFill="1" applyBorder="1" applyAlignment="1">
      <alignment horizontal="center" vertical="center"/>
    </xf>
    <xf numFmtId="4" fontId="8" fillId="0" borderId="10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523875</xdr:colOff>
      <xdr:row>5</xdr:row>
      <xdr:rowOff>9525</xdr:rowOff>
    </xdr:to>
    <xdr:pic>
      <xdr:nvPicPr>
        <xdr:cNvPr id="1866" name="Picture 2" descr="C:\Archivos de programa\Apache Group\Apache2\htdocs\a\imagenes\LogoSunat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"/>
          <a:ext cx="12954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ABILIDAD%20AGOSTO%202013%20-%20copi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COS"/>
      <sheetName val="CAJA"/>
      <sheetName val="DIARIO"/>
      <sheetName val="MAY AGOSTO"/>
      <sheetName val="hw"/>
      <sheetName val="Hoja1"/>
    </sheetNames>
    <sheetDataSet>
      <sheetData sheetId="0"/>
      <sheetData sheetId="1"/>
      <sheetData sheetId="2"/>
      <sheetData sheetId="3">
        <row r="16">
          <cell r="E16">
            <v>4739031.9413947091</v>
          </cell>
          <cell r="F16">
            <v>4516062.7822480006</v>
          </cell>
        </row>
        <row r="30">
          <cell r="E30">
            <v>3764311.48</v>
          </cell>
          <cell r="F30">
            <v>3764311.4899999998</v>
          </cell>
        </row>
        <row r="42">
          <cell r="E42">
            <v>659724.41</v>
          </cell>
        </row>
        <row r="54">
          <cell r="E54">
            <v>57453.8</v>
          </cell>
        </row>
        <row r="66">
          <cell r="E66">
            <v>286733.11499999999</v>
          </cell>
        </row>
        <row r="78">
          <cell r="E78">
            <v>3162644.3760750005</v>
          </cell>
        </row>
        <row r="90">
          <cell r="E90">
            <v>74612.5</v>
          </cell>
        </row>
        <row r="102">
          <cell r="E102">
            <v>101177.31</v>
          </cell>
        </row>
        <row r="114">
          <cell r="E114">
            <v>15703.98</v>
          </cell>
        </row>
        <row r="126">
          <cell r="E126">
            <v>90374.080000000002</v>
          </cell>
        </row>
        <row r="138">
          <cell r="E138">
            <v>786177.89999999991</v>
          </cell>
        </row>
        <row r="152">
          <cell r="E152">
            <v>195621.78575500011</v>
          </cell>
          <cell r="F152">
            <v>56170.579290000001</v>
          </cell>
        </row>
        <row r="164">
          <cell r="F164">
            <v>113991</v>
          </cell>
        </row>
        <row r="178">
          <cell r="E178">
            <v>586945.23929350008</v>
          </cell>
          <cell r="F178">
            <v>622708.47000000009</v>
          </cell>
        </row>
        <row r="190">
          <cell r="E190">
            <v>12494</v>
          </cell>
          <cell r="F190">
            <v>11748</v>
          </cell>
        </row>
        <row r="202">
          <cell r="E202">
            <v>112881.13</v>
          </cell>
          <cell r="F202">
            <v>50040.04</v>
          </cell>
        </row>
        <row r="215">
          <cell r="E215">
            <v>56564</v>
          </cell>
        </row>
        <row r="228">
          <cell r="E228">
            <v>3938</v>
          </cell>
          <cell r="F228">
            <v>4765.7925000000005</v>
          </cell>
        </row>
        <row r="241">
          <cell r="E241">
            <v>3719</v>
          </cell>
        </row>
        <row r="255">
          <cell r="E255">
            <v>13255</v>
          </cell>
          <cell r="F255">
            <v>14319.750567500007</v>
          </cell>
        </row>
        <row r="269">
          <cell r="E269">
            <v>4992</v>
          </cell>
          <cell r="F269">
            <v>5581.7149419444422</v>
          </cell>
        </row>
        <row r="283">
          <cell r="E283">
            <v>11188.42</v>
          </cell>
          <cell r="F283">
            <v>14208.970153000004</v>
          </cell>
        </row>
        <row r="297">
          <cell r="E297">
            <v>107882.54350800002</v>
          </cell>
          <cell r="F297">
            <v>107882.54350800002</v>
          </cell>
        </row>
        <row r="309">
          <cell r="E309">
            <v>16325.06</v>
          </cell>
          <cell r="F309">
            <v>16325.06</v>
          </cell>
        </row>
        <row r="321">
          <cell r="E321">
            <v>0</v>
          </cell>
          <cell r="F321">
            <v>20605</v>
          </cell>
        </row>
        <row r="333">
          <cell r="E333">
            <v>16325.06</v>
          </cell>
          <cell r="F333">
            <v>16325.06</v>
          </cell>
        </row>
        <row r="347">
          <cell r="E347">
            <v>3455682.76</v>
          </cell>
          <cell r="F347">
            <v>3747871.1453684997</v>
          </cell>
        </row>
        <row r="361">
          <cell r="E361">
            <v>835377.93874000001</v>
          </cell>
          <cell r="F361">
            <v>2313276.644880001</v>
          </cell>
        </row>
        <row r="373">
          <cell r="E373">
            <v>100000</v>
          </cell>
        </row>
        <row r="385">
          <cell r="F385">
            <v>291128.79774000001</v>
          </cell>
        </row>
        <row r="397">
          <cell r="F397">
            <v>862000</v>
          </cell>
        </row>
        <row r="409">
          <cell r="F409">
            <v>2934.5438098600134</v>
          </cell>
        </row>
        <row r="421">
          <cell r="E421">
            <v>2911784.3760749996</v>
          </cell>
        </row>
        <row r="433">
          <cell r="F433">
            <v>2911784.3760749996</v>
          </cell>
        </row>
        <row r="446">
          <cell r="E446">
            <v>127525.48</v>
          </cell>
        </row>
        <row r="458">
          <cell r="E458">
            <v>16325.06</v>
          </cell>
        </row>
        <row r="470">
          <cell r="E470">
            <v>16325.06</v>
          </cell>
        </row>
        <row r="483">
          <cell r="E483">
            <v>11477.2932</v>
          </cell>
        </row>
        <row r="496">
          <cell r="E496">
            <v>16172.550000000001</v>
          </cell>
        </row>
        <row r="509">
          <cell r="E509">
            <v>3547.83</v>
          </cell>
        </row>
        <row r="522">
          <cell r="E522">
            <v>3691.51</v>
          </cell>
        </row>
        <row r="534">
          <cell r="E534">
            <v>941.41</v>
          </cell>
        </row>
        <row r="546">
          <cell r="E546">
            <v>31530.309999999998</v>
          </cell>
        </row>
        <row r="558">
          <cell r="E558">
            <v>1297.46</v>
          </cell>
        </row>
        <row r="570">
          <cell r="E570">
            <v>212.5</v>
          </cell>
        </row>
        <row r="583">
          <cell r="E583">
            <v>5981.12</v>
          </cell>
        </row>
        <row r="596">
          <cell r="E596">
            <v>1990.35</v>
          </cell>
        </row>
        <row r="609">
          <cell r="E609">
            <v>34333</v>
          </cell>
        </row>
        <row r="622">
          <cell r="E622">
            <v>154438.6</v>
          </cell>
        </row>
        <row r="636">
          <cell r="E636">
            <v>56170.579290000001</v>
          </cell>
        </row>
        <row r="649">
          <cell r="F649">
            <v>3200839.5600000005</v>
          </cell>
        </row>
        <row r="664">
          <cell r="F664">
            <v>425789.53320000001</v>
          </cell>
        </row>
        <row r="679">
          <cell r="E679">
            <v>425789.53320000001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74"/>
  <sheetViews>
    <sheetView tabSelected="1" topLeftCell="A7" zoomScale="87" zoomScaleNormal="87" workbookViewId="0">
      <selection sqref="A1:IV1"/>
    </sheetView>
  </sheetViews>
  <sheetFormatPr baseColWidth="10" defaultRowHeight="12.75"/>
  <cols>
    <col min="1" max="3" width="11.42578125" style="146"/>
    <col min="4" max="4" width="34.85546875" style="146" customWidth="1"/>
    <col min="5" max="5" width="7.5703125" style="146" customWidth="1"/>
    <col min="6" max="6" width="45" style="146" customWidth="1"/>
    <col min="7" max="7" width="13.140625" style="146" customWidth="1"/>
    <col min="8" max="8" width="12.85546875" style="146" customWidth="1"/>
    <col min="9" max="10" width="11.7109375" bestFit="1" customWidth="1"/>
    <col min="11" max="12" width="11.42578125" style="180"/>
    <col min="13" max="14" width="11.7109375" style="180" bestFit="1" customWidth="1"/>
    <col min="15" max="15" width="11.7109375" bestFit="1" customWidth="1"/>
  </cols>
  <sheetData>
    <row r="3" spans="2:8" ht="20.25">
      <c r="B3" s="232" t="s">
        <v>164</v>
      </c>
      <c r="C3" s="233"/>
      <c r="D3" s="234"/>
      <c r="E3" s="234"/>
      <c r="F3" s="234"/>
      <c r="G3" s="234"/>
      <c r="H3" s="234"/>
    </row>
    <row r="4" spans="2:8" ht="23.25">
      <c r="B4" s="232" t="s">
        <v>348</v>
      </c>
      <c r="C4" s="232"/>
      <c r="D4" s="235"/>
      <c r="E4" s="235"/>
      <c r="F4" s="235"/>
      <c r="G4" s="236"/>
      <c r="H4" s="236"/>
    </row>
    <row r="5" spans="2:8" ht="19.5" customHeight="1">
      <c r="B5" s="232" t="s">
        <v>154</v>
      </c>
      <c r="C5" s="232"/>
      <c r="D5" s="235"/>
      <c r="E5" s="235"/>
      <c r="F5" s="235"/>
      <c r="G5" s="236"/>
      <c r="H5" s="236"/>
    </row>
    <row r="6" spans="2:8" ht="15.75">
      <c r="B6" s="232" t="s">
        <v>155</v>
      </c>
      <c r="C6" s="232"/>
      <c r="D6" s="235"/>
      <c r="E6" s="235"/>
      <c r="F6" s="235"/>
      <c r="G6" s="237"/>
      <c r="H6" s="237"/>
    </row>
    <row r="7" spans="2:8" ht="15.75" thickBot="1">
      <c r="B7" s="235"/>
      <c r="C7" s="235"/>
      <c r="D7" s="235"/>
      <c r="E7" s="235"/>
      <c r="F7" s="235"/>
    </row>
    <row r="8" spans="2:8" ht="22.5" customHeight="1" thickBot="1">
      <c r="B8" s="264" t="s">
        <v>165</v>
      </c>
      <c r="C8" s="264" t="s">
        <v>166</v>
      </c>
      <c r="D8" s="264" t="s">
        <v>167</v>
      </c>
      <c r="E8" s="266" t="s">
        <v>168</v>
      </c>
      <c r="F8" s="267"/>
      <c r="G8" s="266" t="s">
        <v>169</v>
      </c>
      <c r="H8" s="267"/>
    </row>
    <row r="9" spans="2:8" ht="64.5" customHeight="1" thickBot="1">
      <c r="B9" s="265"/>
      <c r="C9" s="265"/>
      <c r="D9" s="265"/>
      <c r="E9" s="56" t="s">
        <v>170</v>
      </c>
      <c r="F9" s="56" t="s">
        <v>171</v>
      </c>
      <c r="G9" s="56" t="s">
        <v>172</v>
      </c>
      <c r="H9" s="56" t="s">
        <v>173</v>
      </c>
    </row>
    <row r="10" spans="2:8">
      <c r="B10" s="238" t="s">
        <v>174</v>
      </c>
      <c r="C10" s="60">
        <v>41547</v>
      </c>
      <c r="D10" s="71" t="s">
        <v>183</v>
      </c>
      <c r="E10" s="95">
        <v>1212</v>
      </c>
      <c r="F10" s="170" t="s">
        <v>234</v>
      </c>
      <c r="G10" s="93">
        <f>+H11+H12</f>
        <v>123007.01</v>
      </c>
      <c r="H10" s="93"/>
    </row>
    <row r="11" spans="2:8">
      <c r="B11" s="238" t="s">
        <v>174</v>
      </c>
      <c r="C11" s="40">
        <v>41547</v>
      </c>
      <c r="D11" s="36" t="s">
        <v>183</v>
      </c>
      <c r="E11" s="37">
        <v>4011</v>
      </c>
      <c r="F11" s="36" t="s">
        <v>235</v>
      </c>
      <c r="G11" s="94"/>
      <c r="H11" s="94">
        <v>17591.03</v>
      </c>
    </row>
    <row r="12" spans="2:8">
      <c r="B12" s="238" t="s">
        <v>174</v>
      </c>
      <c r="C12" s="40">
        <v>41547</v>
      </c>
      <c r="D12" s="36" t="s">
        <v>183</v>
      </c>
      <c r="E12" s="37">
        <v>7011</v>
      </c>
      <c r="F12" s="36" t="s">
        <v>236</v>
      </c>
      <c r="G12" s="94"/>
      <c r="H12" s="94">
        <f>97727.98+7688</f>
        <v>105415.98</v>
      </c>
    </row>
    <row r="13" spans="2:8">
      <c r="B13" s="238" t="s">
        <v>310</v>
      </c>
      <c r="C13" s="40">
        <v>41547</v>
      </c>
      <c r="D13" s="36" t="s">
        <v>180</v>
      </c>
      <c r="E13" s="37">
        <v>1011</v>
      </c>
      <c r="F13" s="36" t="s">
        <v>237</v>
      </c>
      <c r="G13" s="94">
        <f>+H14+H16-G15</f>
        <v>156774.39999999999</v>
      </c>
      <c r="H13" s="94"/>
    </row>
    <row r="14" spans="2:8">
      <c r="B14" s="238" t="s">
        <v>310</v>
      </c>
      <c r="C14" s="40">
        <v>41547</v>
      </c>
      <c r="D14" s="36" t="s">
        <v>180</v>
      </c>
      <c r="E14" s="37">
        <v>1212</v>
      </c>
      <c r="F14" s="73" t="s">
        <v>234</v>
      </c>
      <c r="G14" s="94"/>
      <c r="H14" s="94">
        <f>+CAJA!E45+CAJA!E53+CAJA!E55+CAJA!E57+CAJA!E59+CAJA!E61+CAJA!E68+CAJA!E70+CAJA!E73+CAJA!E77+CAJA!E79+CAJA!E83+CAJA!E87+CAJA!E94</f>
        <v>92627.400000000009</v>
      </c>
    </row>
    <row r="15" spans="2:8">
      <c r="B15" s="238" t="s">
        <v>310</v>
      </c>
      <c r="C15" s="40">
        <v>41547</v>
      </c>
      <c r="D15" s="36" t="s">
        <v>289</v>
      </c>
      <c r="E15" s="37">
        <v>3731</v>
      </c>
      <c r="F15" s="73" t="s">
        <v>280</v>
      </c>
      <c r="G15" s="94">
        <f>+BANCOS!Q495</f>
        <v>2847.3179899999996</v>
      </c>
      <c r="H15" s="94"/>
    </row>
    <row r="16" spans="2:8">
      <c r="B16" s="238" t="s">
        <v>310</v>
      </c>
      <c r="C16" s="40">
        <v>41547</v>
      </c>
      <c r="D16" s="36" t="s">
        <v>289</v>
      </c>
      <c r="E16" s="37">
        <v>4511</v>
      </c>
      <c r="F16" s="73" t="s">
        <v>288</v>
      </c>
      <c r="G16" s="94"/>
      <c r="H16" s="94">
        <f>+BANCOS!R496</f>
        <v>66994.317989999996</v>
      </c>
    </row>
    <row r="17" spans="2:10">
      <c r="B17" s="238" t="s">
        <v>360</v>
      </c>
      <c r="C17" s="40">
        <v>41547</v>
      </c>
      <c r="D17" s="36" t="s">
        <v>349</v>
      </c>
      <c r="E17" s="36">
        <v>40114</v>
      </c>
      <c r="F17" s="73" t="s">
        <v>350</v>
      </c>
      <c r="G17" s="94">
        <v>30379.599999999999</v>
      </c>
      <c r="H17" s="94"/>
    </row>
    <row r="18" spans="2:10">
      <c r="B18" s="238" t="s">
        <v>360</v>
      </c>
      <c r="C18" s="40">
        <v>41547</v>
      </c>
      <c r="D18" s="36" t="s">
        <v>349</v>
      </c>
      <c r="E18" s="36">
        <v>1212</v>
      </c>
      <c r="F18" s="73" t="s">
        <v>234</v>
      </c>
      <c r="G18" s="94"/>
      <c r="H18" s="94">
        <f>+G17</f>
        <v>30379.599999999999</v>
      </c>
    </row>
    <row r="19" spans="2:10">
      <c r="B19" s="238" t="s">
        <v>311</v>
      </c>
      <c r="C19" s="40">
        <v>41547</v>
      </c>
      <c r="D19" s="36" t="s">
        <v>364</v>
      </c>
      <c r="E19" s="260">
        <v>40171</v>
      </c>
      <c r="F19" s="260" t="s">
        <v>285</v>
      </c>
      <c r="G19" s="261">
        <f>+H20</f>
        <v>7425</v>
      </c>
      <c r="H19" s="261"/>
    </row>
    <row r="20" spans="2:10">
      <c r="B20" s="238" t="s">
        <v>311</v>
      </c>
      <c r="C20" s="40">
        <v>41547</v>
      </c>
      <c r="D20" s="36" t="s">
        <v>364</v>
      </c>
      <c r="E20" s="260">
        <v>40114</v>
      </c>
      <c r="F20" s="262" t="s">
        <v>350</v>
      </c>
      <c r="G20" s="261"/>
      <c r="H20" s="261">
        <v>7425</v>
      </c>
    </row>
    <row r="21" spans="2:10">
      <c r="B21" s="238" t="s">
        <v>361</v>
      </c>
      <c r="C21" s="40">
        <v>41547</v>
      </c>
      <c r="D21" s="36" t="s">
        <v>365</v>
      </c>
      <c r="E21" s="260">
        <v>4011</v>
      </c>
      <c r="F21" s="36" t="s">
        <v>235</v>
      </c>
      <c r="G21" s="261">
        <f>+H22</f>
        <v>2687.0699999999997</v>
      </c>
      <c r="H21" s="261"/>
    </row>
    <row r="22" spans="2:10">
      <c r="B22" s="238" t="s">
        <v>361</v>
      </c>
      <c r="C22" s="40">
        <v>41547</v>
      </c>
      <c r="D22" s="36" t="s">
        <v>365</v>
      </c>
      <c r="E22" s="260">
        <v>40114</v>
      </c>
      <c r="F22" s="262" t="s">
        <v>350</v>
      </c>
      <c r="G22" s="261"/>
      <c r="H22" s="261">
        <f>1006+3157-1475.93</f>
        <v>2687.0699999999997</v>
      </c>
    </row>
    <row r="23" spans="2:10">
      <c r="B23" s="238" t="s">
        <v>312</v>
      </c>
      <c r="C23" s="40">
        <v>41547</v>
      </c>
      <c r="D23" s="36" t="s">
        <v>187</v>
      </c>
      <c r="E23" s="96">
        <v>6731</v>
      </c>
      <c r="F23" s="36" t="s">
        <v>238</v>
      </c>
      <c r="G23" s="94">
        <v>8544.02</v>
      </c>
      <c r="H23" s="94"/>
      <c r="J23" s="180"/>
    </row>
    <row r="24" spans="2:10">
      <c r="B24" s="238" t="s">
        <v>312</v>
      </c>
      <c r="C24" s="40">
        <v>41547</v>
      </c>
      <c r="D24" s="36" t="s">
        <v>187</v>
      </c>
      <c r="E24" s="37">
        <v>3731</v>
      </c>
      <c r="F24" s="73" t="s">
        <v>280</v>
      </c>
      <c r="G24" s="94"/>
      <c r="H24" s="94">
        <f>+G23</f>
        <v>8544.02</v>
      </c>
      <c r="J24" s="180"/>
    </row>
    <row r="25" spans="2:10">
      <c r="B25" s="238" t="s">
        <v>362</v>
      </c>
      <c r="C25" s="40">
        <v>41547</v>
      </c>
      <c r="D25" s="36" t="s">
        <v>279</v>
      </c>
      <c r="E25" s="84">
        <v>3361</v>
      </c>
      <c r="F25" s="182" t="s">
        <v>352</v>
      </c>
      <c r="G25" s="240">
        <v>12000</v>
      </c>
      <c r="H25" s="94"/>
      <c r="J25" s="245"/>
    </row>
    <row r="26" spans="2:10">
      <c r="B26" s="238" t="s">
        <v>362</v>
      </c>
      <c r="C26" s="40">
        <v>41547</v>
      </c>
      <c r="D26" s="36" t="s">
        <v>279</v>
      </c>
      <c r="E26" s="84">
        <v>6011</v>
      </c>
      <c r="F26" s="182" t="s">
        <v>236</v>
      </c>
      <c r="G26" s="94">
        <v>126028.5</v>
      </c>
      <c r="H26" s="94"/>
      <c r="J26" s="245"/>
    </row>
    <row r="27" spans="2:10">
      <c r="B27" s="238" t="s">
        <v>362</v>
      </c>
      <c r="C27" s="40">
        <v>41547</v>
      </c>
      <c r="D27" s="36" t="s">
        <v>279</v>
      </c>
      <c r="E27" s="84">
        <v>6311</v>
      </c>
      <c r="F27" s="36" t="s">
        <v>281</v>
      </c>
      <c r="G27" s="94">
        <v>2434.7399999999998</v>
      </c>
      <c r="H27" s="94"/>
      <c r="J27" s="245"/>
    </row>
    <row r="28" spans="2:10">
      <c r="B28" s="238" t="s">
        <v>362</v>
      </c>
      <c r="C28" s="40">
        <v>41547</v>
      </c>
      <c r="D28" s="36" t="s">
        <v>279</v>
      </c>
      <c r="E28" s="84">
        <v>6313</v>
      </c>
      <c r="F28" s="146" t="s">
        <v>282</v>
      </c>
      <c r="G28" s="94">
        <v>1439.13</v>
      </c>
      <c r="H28" s="94"/>
      <c r="J28" s="245"/>
    </row>
    <row r="29" spans="2:10">
      <c r="B29" s="238" t="s">
        <v>362</v>
      </c>
      <c r="C29" s="40">
        <v>41547</v>
      </c>
      <c r="D29" s="36" t="s">
        <v>279</v>
      </c>
      <c r="E29" s="84">
        <v>6314</v>
      </c>
      <c r="F29" s="97" t="s">
        <v>283</v>
      </c>
      <c r="G29" s="94">
        <v>1611.79</v>
      </c>
      <c r="H29" s="94"/>
      <c r="J29" s="245"/>
    </row>
    <row r="30" spans="2:10">
      <c r="B30" s="238" t="s">
        <v>362</v>
      </c>
      <c r="C30" s="40">
        <v>41547</v>
      </c>
      <c r="D30" s="36" t="s">
        <v>279</v>
      </c>
      <c r="E30" s="84">
        <v>6343</v>
      </c>
      <c r="F30" s="36" t="s">
        <v>354</v>
      </c>
      <c r="G30" s="94">
        <v>1047.79</v>
      </c>
      <c r="H30" s="94"/>
      <c r="J30" s="245"/>
    </row>
    <row r="31" spans="2:10">
      <c r="B31" s="238" t="s">
        <v>362</v>
      </c>
      <c r="C31" s="40">
        <v>41547</v>
      </c>
      <c r="D31" s="36" t="s">
        <v>279</v>
      </c>
      <c r="E31" s="84">
        <v>6354</v>
      </c>
      <c r="F31" s="36" t="s">
        <v>356</v>
      </c>
      <c r="G31" s="94">
        <v>10976.04</v>
      </c>
      <c r="H31" s="94"/>
      <c r="J31" s="245"/>
    </row>
    <row r="32" spans="2:10">
      <c r="B32" s="238" t="s">
        <v>362</v>
      </c>
      <c r="C32" s="40">
        <v>41547</v>
      </c>
      <c r="D32" s="36" t="s">
        <v>279</v>
      </c>
      <c r="E32" s="84">
        <v>6364</v>
      </c>
      <c r="F32" s="36" t="s">
        <v>286</v>
      </c>
      <c r="G32" s="94">
        <v>1200.8800000000001</v>
      </c>
      <c r="H32" s="94"/>
      <c r="J32" s="245"/>
    </row>
    <row r="33" spans="2:10">
      <c r="B33" s="238" t="s">
        <v>362</v>
      </c>
      <c r="C33" s="40">
        <v>41547</v>
      </c>
      <c r="D33" s="36" t="s">
        <v>279</v>
      </c>
      <c r="E33" s="84">
        <v>6511</v>
      </c>
      <c r="F33" s="36" t="s">
        <v>284</v>
      </c>
      <c r="G33" s="94">
        <v>261.66000000000003</v>
      </c>
      <c r="H33" s="94"/>
      <c r="J33" s="245"/>
    </row>
    <row r="34" spans="2:10">
      <c r="B34" s="238" t="s">
        <v>362</v>
      </c>
      <c r="C34" s="40">
        <v>41547</v>
      </c>
      <c r="D34" s="36" t="s">
        <v>279</v>
      </c>
      <c r="E34" s="84">
        <v>6593</v>
      </c>
      <c r="F34" s="36" t="s">
        <v>355</v>
      </c>
      <c r="G34" s="94">
        <v>28730.47</v>
      </c>
      <c r="H34" s="94"/>
      <c r="J34" s="245"/>
    </row>
    <row r="35" spans="2:10">
      <c r="B35" s="238" t="s">
        <v>362</v>
      </c>
      <c r="C35" s="40">
        <v>41547</v>
      </c>
      <c r="D35" s="36" t="s">
        <v>279</v>
      </c>
      <c r="E35" s="37">
        <v>4011</v>
      </c>
      <c r="F35" s="36" t="s">
        <v>235</v>
      </c>
      <c r="G35" s="94">
        <v>31148.97</v>
      </c>
      <c r="H35" s="94"/>
      <c r="J35" s="245"/>
    </row>
    <row r="36" spans="2:10">
      <c r="B36" s="238" t="s">
        <v>362</v>
      </c>
      <c r="C36" s="40">
        <v>41547</v>
      </c>
      <c r="D36" s="36" t="s">
        <v>279</v>
      </c>
      <c r="E36" s="186">
        <v>40113</v>
      </c>
      <c r="F36" s="73" t="s">
        <v>353</v>
      </c>
      <c r="G36" s="94">
        <v>5218.55</v>
      </c>
      <c r="H36" s="94"/>
      <c r="J36" s="245"/>
    </row>
    <row r="37" spans="2:10">
      <c r="B37" s="238" t="s">
        <v>362</v>
      </c>
      <c r="C37" s="40">
        <v>41547</v>
      </c>
      <c r="D37" s="36" t="s">
        <v>279</v>
      </c>
      <c r="E37" s="186">
        <v>4212</v>
      </c>
      <c r="F37" s="36" t="s">
        <v>290</v>
      </c>
      <c r="G37" s="94"/>
      <c r="H37" s="94">
        <f>SUM(G25:G36)</f>
        <v>222098.52000000002</v>
      </c>
      <c r="I37" s="92"/>
      <c r="J37" s="231"/>
    </row>
    <row r="38" spans="2:10">
      <c r="B38" s="238" t="s">
        <v>313</v>
      </c>
      <c r="C38" s="40">
        <v>41547</v>
      </c>
      <c r="D38" s="36" t="s">
        <v>357</v>
      </c>
      <c r="E38" s="71">
        <v>2011</v>
      </c>
      <c r="F38" s="73" t="s">
        <v>236</v>
      </c>
      <c r="G38" s="94">
        <f>+G26</f>
        <v>126028.5</v>
      </c>
      <c r="H38" s="94"/>
      <c r="I38" s="92"/>
      <c r="J38" s="231"/>
    </row>
    <row r="39" spans="2:10">
      <c r="B39" s="238" t="s">
        <v>313</v>
      </c>
      <c r="C39" s="40">
        <v>41547</v>
      </c>
      <c r="D39" s="36" t="s">
        <v>357</v>
      </c>
      <c r="E39" s="36">
        <v>6111</v>
      </c>
      <c r="F39" s="36" t="s">
        <v>236</v>
      </c>
      <c r="G39" s="94"/>
      <c r="H39" s="94">
        <f>+G38</f>
        <v>126028.5</v>
      </c>
      <c r="I39" s="92"/>
      <c r="J39" s="231"/>
    </row>
    <row r="40" spans="2:10">
      <c r="B40" s="238" t="s">
        <v>314</v>
      </c>
      <c r="C40" s="40">
        <v>41547</v>
      </c>
      <c r="D40" s="36" t="s">
        <v>232</v>
      </c>
      <c r="E40" s="36">
        <v>9411</v>
      </c>
      <c r="F40" s="36" t="s">
        <v>264</v>
      </c>
      <c r="G40" s="94">
        <f>+G27+G28+G29+G30+G31+G32+G33+G34</f>
        <v>47702.5</v>
      </c>
      <c r="H40" s="94"/>
      <c r="J40" s="180"/>
    </row>
    <row r="41" spans="2:10">
      <c r="B41" s="238" t="s">
        <v>314</v>
      </c>
      <c r="C41" s="40">
        <v>41547</v>
      </c>
      <c r="D41" s="36" t="s">
        <v>232</v>
      </c>
      <c r="E41" s="36">
        <v>7911</v>
      </c>
      <c r="F41" s="36" t="s">
        <v>239</v>
      </c>
      <c r="G41" s="94"/>
      <c r="H41" s="94">
        <f>+G40</f>
        <v>47702.5</v>
      </c>
    </row>
    <row r="42" spans="2:10" ht="15">
      <c r="B42" s="238" t="s">
        <v>315</v>
      </c>
      <c r="C42" s="40">
        <v>41547</v>
      </c>
      <c r="D42" s="36" t="s">
        <v>265</v>
      </c>
      <c r="E42" s="36">
        <v>6211</v>
      </c>
      <c r="F42" s="36" t="s">
        <v>257</v>
      </c>
      <c r="G42" s="247">
        <v>11750.06</v>
      </c>
      <c r="H42" s="16"/>
    </row>
    <row r="43" spans="2:10">
      <c r="B43" s="238" t="s">
        <v>315</v>
      </c>
      <c r="C43" s="40">
        <v>41547</v>
      </c>
      <c r="D43" s="36" t="s">
        <v>265</v>
      </c>
      <c r="E43" s="36">
        <v>6271</v>
      </c>
      <c r="F43" s="36" t="s">
        <v>258</v>
      </c>
      <c r="G43" s="248">
        <v>1057.51</v>
      </c>
      <c r="H43" s="16"/>
    </row>
    <row r="44" spans="2:10">
      <c r="B44" s="238" t="s">
        <v>315</v>
      </c>
      <c r="C44" s="40">
        <v>41547</v>
      </c>
      <c r="D44" s="36" t="s">
        <v>265</v>
      </c>
      <c r="E44" s="36">
        <v>40173</v>
      </c>
      <c r="F44" s="36" t="s">
        <v>259</v>
      </c>
      <c r="G44" s="248"/>
      <c r="H44" s="16">
        <v>326.25</v>
      </c>
    </row>
    <row r="45" spans="2:10" ht="15">
      <c r="B45" s="238" t="s">
        <v>315</v>
      </c>
      <c r="C45" s="40">
        <v>41547</v>
      </c>
      <c r="D45" s="36" t="s">
        <v>265</v>
      </c>
      <c r="E45" s="36">
        <v>4031</v>
      </c>
      <c r="F45" s="36" t="s">
        <v>260</v>
      </c>
      <c r="G45" s="16"/>
      <c r="H45" s="247">
        <f>+G43</f>
        <v>1057.51</v>
      </c>
    </row>
    <row r="46" spans="2:10">
      <c r="B46" s="238" t="s">
        <v>315</v>
      </c>
      <c r="C46" s="40">
        <v>41547</v>
      </c>
      <c r="D46" s="36" t="s">
        <v>265</v>
      </c>
      <c r="E46" s="36">
        <v>4032</v>
      </c>
      <c r="F46" s="36" t="s">
        <v>261</v>
      </c>
      <c r="G46" s="16"/>
      <c r="H46" s="248">
        <v>429</v>
      </c>
    </row>
    <row r="47" spans="2:10">
      <c r="B47" s="238" t="s">
        <v>315</v>
      </c>
      <c r="C47" s="40">
        <v>41547</v>
      </c>
      <c r="D47" s="36" t="s">
        <v>265</v>
      </c>
      <c r="E47" s="36">
        <v>4071</v>
      </c>
      <c r="F47" s="36" t="s">
        <v>262</v>
      </c>
      <c r="G47" s="16"/>
      <c r="H47" s="248">
        <v>990.97</v>
      </c>
    </row>
    <row r="48" spans="2:10" ht="15">
      <c r="B48" s="238" t="s">
        <v>315</v>
      </c>
      <c r="C48" s="40">
        <v>41547</v>
      </c>
      <c r="D48" s="36" t="s">
        <v>265</v>
      </c>
      <c r="E48" s="36">
        <v>4111</v>
      </c>
      <c r="F48" s="36" t="s">
        <v>263</v>
      </c>
      <c r="G48" s="16"/>
      <c r="H48" s="247">
        <f>+G42+G43-H44-H45-H46-H47</f>
        <v>10003.84</v>
      </c>
    </row>
    <row r="49" spans="2:9">
      <c r="B49" s="238" t="s">
        <v>366</v>
      </c>
      <c r="C49" s="40">
        <v>41547</v>
      </c>
      <c r="D49" s="36" t="s">
        <v>232</v>
      </c>
      <c r="E49" s="36">
        <v>9411</v>
      </c>
      <c r="F49" s="36" t="s">
        <v>264</v>
      </c>
      <c r="G49" s="16">
        <f>+G42+G43</f>
        <v>12807.57</v>
      </c>
      <c r="H49" s="16"/>
    </row>
    <row r="50" spans="2:9">
      <c r="B50" s="238" t="s">
        <v>366</v>
      </c>
      <c r="C50" s="40">
        <v>41547</v>
      </c>
      <c r="D50" s="36" t="s">
        <v>232</v>
      </c>
      <c r="E50" s="36">
        <v>7911</v>
      </c>
      <c r="F50" s="36" t="s">
        <v>239</v>
      </c>
      <c r="G50" s="16"/>
      <c r="H50" s="16">
        <f>+G49</f>
        <v>12807.57</v>
      </c>
    </row>
    <row r="51" spans="2:9">
      <c r="B51" s="238" t="s">
        <v>367</v>
      </c>
      <c r="C51" s="40">
        <v>41547</v>
      </c>
      <c r="D51" s="36" t="s">
        <v>291</v>
      </c>
      <c r="E51" s="36">
        <v>40171</v>
      </c>
      <c r="F51" s="36" t="s">
        <v>285</v>
      </c>
      <c r="G51" s="16">
        <f>+CAJA!F81</f>
        <v>499</v>
      </c>
      <c r="H51" s="16"/>
      <c r="I51" s="92"/>
    </row>
    <row r="52" spans="2:9">
      <c r="B52" s="238" t="s">
        <v>367</v>
      </c>
      <c r="C52" s="40">
        <v>41547</v>
      </c>
      <c r="D52" s="36" t="s">
        <v>291</v>
      </c>
      <c r="E52" s="36">
        <v>40173</v>
      </c>
      <c r="F52" s="36" t="s">
        <v>259</v>
      </c>
      <c r="G52" s="16"/>
      <c r="H52" s="16"/>
    </row>
    <row r="53" spans="2:9">
      <c r="B53" s="238" t="s">
        <v>367</v>
      </c>
      <c r="C53" s="40">
        <v>41547</v>
      </c>
      <c r="D53" s="36" t="s">
        <v>291</v>
      </c>
      <c r="E53" s="36">
        <v>40186</v>
      </c>
      <c r="F53" s="38" t="s">
        <v>30</v>
      </c>
      <c r="G53" s="16">
        <f>+CAJA!F89</f>
        <v>650</v>
      </c>
      <c r="H53" s="16"/>
    </row>
    <row r="54" spans="2:9">
      <c r="B54" s="238" t="s">
        <v>367</v>
      </c>
      <c r="C54" s="40">
        <v>41547</v>
      </c>
      <c r="D54" s="36" t="s">
        <v>291</v>
      </c>
      <c r="E54" s="36">
        <v>4031</v>
      </c>
      <c r="F54" s="36" t="s">
        <v>260</v>
      </c>
      <c r="G54" s="16">
        <f>+CAJA!F90</f>
        <v>1193</v>
      </c>
      <c r="H54" s="16"/>
    </row>
    <row r="55" spans="2:9">
      <c r="B55" s="238" t="s">
        <v>367</v>
      </c>
      <c r="C55" s="40">
        <v>41547</v>
      </c>
      <c r="D55" s="36" t="s">
        <v>291</v>
      </c>
      <c r="E55" s="36">
        <v>4032</v>
      </c>
      <c r="F55" s="36" t="s">
        <v>261</v>
      </c>
      <c r="G55" s="16">
        <f>+CAJA!F91</f>
        <v>624</v>
      </c>
      <c r="H55" s="16"/>
    </row>
    <row r="56" spans="2:9">
      <c r="B56" s="238" t="s">
        <v>367</v>
      </c>
      <c r="C56" s="40">
        <v>41547</v>
      </c>
      <c r="D56" s="36" t="s">
        <v>291</v>
      </c>
      <c r="E56" s="36">
        <v>4071</v>
      </c>
      <c r="F56" s="36" t="s">
        <v>262</v>
      </c>
      <c r="G56" s="16">
        <f>+CAJA!F48+CAJA!F49+CAJA!F50</f>
        <v>1392.6599999999999</v>
      </c>
      <c r="H56" s="16"/>
    </row>
    <row r="57" spans="2:9">
      <c r="B57" s="238" t="s">
        <v>367</v>
      </c>
      <c r="C57" s="40">
        <v>41547</v>
      </c>
      <c r="D57" s="36" t="s">
        <v>291</v>
      </c>
      <c r="E57" s="36">
        <v>4111</v>
      </c>
      <c r="F57" s="36" t="s">
        <v>263</v>
      </c>
      <c r="G57" s="16">
        <f>+CAJA!F95</f>
        <v>10003.84</v>
      </c>
      <c r="H57" s="16"/>
    </row>
    <row r="58" spans="2:9">
      <c r="B58" s="238" t="s">
        <v>367</v>
      </c>
      <c r="C58" s="40">
        <v>41547</v>
      </c>
      <c r="D58" s="36" t="s">
        <v>291</v>
      </c>
      <c r="E58" s="186">
        <v>4212</v>
      </c>
      <c r="F58" s="36" t="s">
        <v>290</v>
      </c>
      <c r="G58" s="16">
        <f>+CAJA!F12+CAJA!F13+CAJA!F14+CAJA!F15+CAJA!F16+CAJA!F17+CAJA!F18+CAJA!F19+CAJA!F20+CAJA!F21+CAJA!F22+CAJA!F23+CAJA!F24+CAJA!F25+CAJA!F26+CAJA!F27+CAJA!F28+CAJA!F29+CAJA!F30+CAJA!F31+CAJA!F32+CAJA!F33+CAJA!F34+CAJA!F35+CAJA!F36+CAJA!F37+CAJA!F38+CAJA!F39+CAJA!F40+CAJA!F41+CAJA!F44+CAJA!F46+CAJA!F47+CAJA!F51+CAJA!F52+CAJA!F54+CAJA!F56+CAJA!F60+CAJA!F62+CAJA!F63+CAJA!F66+CAJA!F67+CAJA!F69+CAJA!F71+CAJA!F72+CAJA!F76+CAJA!F78+CAJA!F80+CAJA!F82+CAJA!F86+CAJA!F88+CAJA!F93</f>
        <v>222098.52000000002</v>
      </c>
      <c r="H58" s="16"/>
      <c r="I58" s="92">
        <f>+G58-H37</f>
        <v>0</v>
      </c>
    </row>
    <row r="59" spans="2:9">
      <c r="B59" s="238" t="s">
        <v>367</v>
      </c>
      <c r="C59" s="40">
        <v>41547</v>
      </c>
      <c r="D59" s="36" t="s">
        <v>291</v>
      </c>
      <c r="E59" s="37">
        <v>4511</v>
      </c>
      <c r="F59" s="73" t="s">
        <v>288</v>
      </c>
      <c r="G59" s="16">
        <f>+CAJA!F42+CAJA!F64+CAJA!F74+CAJA!F84+CAJA!F43+CAJA!F65+CAJA!F75+CAJA!F85</f>
        <v>69519.983419999975</v>
      </c>
      <c r="H59" s="16"/>
    </row>
    <row r="60" spans="2:9" ht="12.75" customHeight="1">
      <c r="B60" s="238" t="s">
        <v>367</v>
      </c>
      <c r="C60" s="40">
        <v>41547</v>
      </c>
      <c r="D60" s="36" t="s">
        <v>291</v>
      </c>
      <c r="E60" s="37">
        <v>6592</v>
      </c>
      <c r="F60" s="73" t="s">
        <v>317</v>
      </c>
      <c r="G60" s="16">
        <f>+CAJA!F92</f>
        <v>33</v>
      </c>
      <c r="H60" s="16"/>
    </row>
    <row r="61" spans="2:9">
      <c r="B61" s="238" t="s">
        <v>367</v>
      </c>
      <c r="C61" s="40">
        <v>41547</v>
      </c>
      <c r="D61" s="36" t="s">
        <v>291</v>
      </c>
      <c r="E61" s="36">
        <v>1011</v>
      </c>
      <c r="F61" s="36" t="s">
        <v>237</v>
      </c>
      <c r="G61" s="36"/>
      <c r="H61" s="16">
        <f>SUM(G51:G60)</f>
        <v>306014.00341999996</v>
      </c>
      <c r="I61" s="92">
        <f>+CAJA!F97</f>
        <v>306014.00341999996</v>
      </c>
    </row>
    <row r="62" spans="2:9">
      <c r="B62" s="249">
        <v>13</v>
      </c>
      <c r="C62" s="40">
        <v>41547</v>
      </c>
      <c r="D62" s="36" t="s">
        <v>232</v>
      </c>
      <c r="E62" s="36">
        <v>9411</v>
      </c>
      <c r="F62" s="36" t="s">
        <v>264</v>
      </c>
      <c r="G62" s="16">
        <f>+G60</f>
        <v>33</v>
      </c>
      <c r="H62" s="16"/>
    </row>
    <row r="63" spans="2:9">
      <c r="B63" s="249">
        <v>13</v>
      </c>
      <c r="C63" s="40">
        <v>41547</v>
      </c>
      <c r="D63" s="36" t="s">
        <v>232</v>
      </c>
      <c r="E63" s="36">
        <v>7911</v>
      </c>
      <c r="F63" s="36" t="s">
        <v>239</v>
      </c>
      <c r="G63" s="16"/>
      <c r="H63" s="16">
        <f>+G62</f>
        <v>33</v>
      </c>
    </row>
    <row r="64" spans="2:9">
      <c r="B64" s="185"/>
      <c r="C64" s="239"/>
      <c r="D64" s="185"/>
      <c r="E64" s="185"/>
      <c r="F64" s="185"/>
      <c r="G64" s="240"/>
      <c r="H64" s="185"/>
    </row>
    <row r="65" spans="2:8" ht="13.5" thickBot="1">
      <c r="B65" s="185"/>
      <c r="C65" s="239"/>
      <c r="D65" s="185"/>
      <c r="E65" s="185"/>
      <c r="F65" s="185"/>
      <c r="G65" s="241"/>
      <c r="H65" s="242"/>
    </row>
    <row r="66" spans="2:8">
      <c r="B66" s="185"/>
      <c r="C66" s="239"/>
      <c r="D66" s="185"/>
      <c r="E66" s="185"/>
      <c r="F66" s="243" t="s">
        <v>175</v>
      </c>
      <c r="G66" s="244">
        <f>SUM(G10:G65)</f>
        <v>1059156.0814099999</v>
      </c>
      <c r="H66" s="244">
        <f>SUM(H10:H65)</f>
        <v>1059156.0814099999</v>
      </c>
    </row>
    <row r="70" spans="2:8">
      <c r="G70" s="145"/>
      <c r="H70" s="145"/>
    </row>
    <row r="71" spans="2:8">
      <c r="G71" s="145"/>
      <c r="H71" s="145"/>
    </row>
    <row r="72" spans="2:8">
      <c r="G72" s="145"/>
      <c r="H72" s="145"/>
    </row>
    <row r="73" spans="2:8">
      <c r="G73" s="145"/>
    </row>
    <row r="74" spans="2:8">
      <c r="G74" s="145"/>
    </row>
  </sheetData>
  <autoFilter ref="B7:H64"/>
  <mergeCells count="5">
    <mergeCell ref="B8:B9"/>
    <mergeCell ref="C8:C9"/>
    <mergeCell ref="D8:D9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3:R553"/>
  <sheetViews>
    <sheetView zoomScale="90" zoomScaleNormal="90" workbookViewId="0">
      <selection activeCell="K25" sqref="K25"/>
    </sheetView>
  </sheetViews>
  <sheetFormatPr baseColWidth="10" defaultRowHeight="12.75"/>
  <cols>
    <col min="1" max="1" width="3" style="1" customWidth="1"/>
    <col min="2" max="2" width="8.5703125" style="1" customWidth="1"/>
    <col min="3" max="3" width="16.28515625" style="1" customWidth="1"/>
    <col min="4" max="4" width="15.28515625" style="1" customWidth="1"/>
    <col min="5" max="5" width="29.140625" style="1" customWidth="1"/>
    <col min="6" max="6" width="23.140625" style="1" customWidth="1"/>
    <col min="7" max="7" width="11.42578125" style="1" customWidth="1"/>
    <col min="8" max="8" width="6.28515625" style="1" customWidth="1"/>
    <col min="9" max="9" width="16.42578125" style="1" customWidth="1"/>
    <col min="10" max="10" width="14.42578125" style="1" customWidth="1"/>
    <col min="11" max="11" width="17.7109375" style="1" customWidth="1"/>
    <col min="12" max="12" width="11.42578125" style="1"/>
    <col min="13" max="13" width="13.85546875" style="1" customWidth="1"/>
    <col min="14" max="16384" width="11.42578125" style="1"/>
  </cols>
  <sheetData>
    <row r="3" spans="2:12" ht="7.5" customHeight="1">
      <c r="B3" s="4"/>
      <c r="C3" s="4"/>
      <c r="D3" s="4"/>
      <c r="E3" s="4"/>
      <c r="F3" s="4"/>
      <c r="G3" s="4"/>
      <c r="H3" s="4"/>
      <c r="I3" s="4"/>
      <c r="J3" s="4"/>
    </row>
    <row r="4" spans="2:12">
      <c r="B4" s="268" t="s">
        <v>0</v>
      </c>
      <c r="C4" s="268"/>
      <c r="D4" s="268"/>
      <c r="E4" s="268"/>
      <c r="F4" s="268"/>
      <c r="G4" s="268"/>
      <c r="H4" s="268"/>
      <c r="I4" s="4"/>
      <c r="J4" s="4"/>
    </row>
    <row r="5" spans="2:12" ht="6" customHeight="1">
      <c r="B5" s="4"/>
      <c r="C5" s="4"/>
      <c r="D5" s="4"/>
      <c r="E5" s="4"/>
      <c r="F5" s="4"/>
      <c r="G5" s="4"/>
      <c r="H5" s="4"/>
      <c r="I5" s="4"/>
      <c r="J5" s="4"/>
    </row>
    <row r="6" spans="2:12" ht="6" customHeight="1"/>
    <row r="7" spans="2:12" ht="6.75" customHeight="1"/>
    <row r="8" spans="2:12">
      <c r="B8" s="3" t="s">
        <v>1</v>
      </c>
      <c r="C8" s="2"/>
      <c r="D8" s="2"/>
      <c r="E8" s="6" t="s">
        <v>17</v>
      </c>
      <c r="F8" s="6"/>
      <c r="G8" s="3" t="s">
        <v>5</v>
      </c>
      <c r="H8" s="2"/>
      <c r="I8" s="6" t="s">
        <v>18</v>
      </c>
      <c r="J8" s="6"/>
    </row>
    <row r="9" spans="2:12">
      <c r="B9" s="3" t="s">
        <v>2</v>
      </c>
      <c r="C9" s="2"/>
      <c r="D9" s="2"/>
      <c r="E9" s="6" t="s">
        <v>19</v>
      </c>
      <c r="F9" s="6"/>
      <c r="G9" s="3" t="s">
        <v>6</v>
      </c>
      <c r="H9" s="2"/>
      <c r="I9" s="6" t="s">
        <v>9</v>
      </c>
      <c r="J9" s="6"/>
    </row>
    <row r="10" spans="2:12">
      <c r="B10" s="3" t="s">
        <v>3</v>
      </c>
      <c r="C10" s="2"/>
      <c r="D10" s="2"/>
      <c r="E10" s="6" t="s">
        <v>20</v>
      </c>
      <c r="F10" s="6"/>
      <c r="G10" s="3" t="s">
        <v>7</v>
      </c>
      <c r="H10" s="2"/>
      <c r="I10" s="6" t="s">
        <v>21</v>
      </c>
      <c r="J10" s="6"/>
    </row>
    <row r="11" spans="2:12">
      <c r="B11" s="3" t="s">
        <v>4</v>
      </c>
      <c r="E11" s="6" t="s">
        <v>22</v>
      </c>
      <c r="F11" s="6"/>
      <c r="G11" s="3" t="s">
        <v>8</v>
      </c>
      <c r="I11" s="6" t="s">
        <v>23</v>
      </c>
      <c r="J11" s="6"/>
    </row>
    <row r="12" spans="2:12">
      <c r="B12" s="2"/>
    </row>
    <row r="13" spans="2:12">
      <c r="B13" s="5" t="s">
        <v>9</v>
      </c>
      <c r="C13" s="5" t="s">
        <v>10</v>
      </c>
      <c r="D13" s="5" t="s">
        <v>11</v>
      </c>
      <c r="E13" s="5" t="s">
        <v>12</v>
      </c>
      <c r="F13" s="5" t="s">
        <v>13</v>
      </c>
      <c r="G13" s="5" t="s">
        <v>14</v>
      </c>
      <c r="H13" s="5" t="s">
        <v>15</v>
      </c>
      <c r="I13" s="5" t="s">
        <v>12</v>
      </c>
      <c r="J13" s="5" t="s">
        <v>8</v>
      </c>
      <c r="K13" s="251" t="s">
        <v>16</v>
      </c>
      <c r="L13" s="19"/>
    </row>
    <row r="14" spans="2:12">
      <c r="B14" s="252" t="s">
        <v>321</v>
      </c>
      <c r="C14" s="252" t="s">
        <v>24</v>
      </c>
      <c r="D14" s="252" t="s">
        <v>322</v>
      </c>
      <c r="E14" s="253" t="s">
        <v>26</v>
      </c>
      <c r="F14" s="253" t="s">
        <v>27</v>
      </c>
      <c r="G14" s="252" t="s">
        <v>323</v>
      </c>
      <c r="H14" s="252" t="s">
        <v>78</v>
      </c>
      <c r="I14" s="252" t="s">
        <v>79</v>
      </c>
      <c r="J14" s="254">
        <v>26</v>
      </c>
      <c r="K14" s="17"/>
      <c r="L14" s="20">
        <f t="shared" ref="L14:L30" si="0">+J14-K14</f>
        <v>26</v>
      </c>
    </row>
    <row r="15" spans="2:12">
      <c r="B15" s="252" t="s">
        <v>321</v>
      </c>
      <c r="C15" s="252" t="s">
        <v>24</v>
      </c>
      <c r="D15" s="252" t="s">
        <v>324</v>
      </c>
      <c r="E15" s="253" t="s">
        <v>26</v>
      </c>
      <c r="F15" s="253" t="s">
        <v>27</v>
      </c>
      <c r="G15" s="252" t="s">
        <v>325</v>
      </c>
      <c r="H15" s="252" t="s">
        <v>78</v>
      </c>
      <c r="I15" s="252" t="s">
        <v>79</v>
      </c>
      <c r="J15" s="254">
        <v>26</v>
      </c>
      <c r="K15" s="17"/>
      <c r="L15" s="20">
        <f t="shared" si="0"/>
        <v>26</v>
      </c>
    </row>
    <row r="16" spans="2:12">
      <c r="B16" s="252" t="s">
        <v>321</v>
      </c>
      <c r="C16" s="252" t="s">
        <v>24</v>
      </c>
      <c r="D16" s="252" t="s">
        <v>326</v>
      </c>
      <c r="E16" s="253" t="s">
        <v>26</v>
      </c>
      <c r="F16" s="253" t="s">
        <v>27</v>
      </c>
      <c r="G16" s="252" t="s">
        <v>327</v>
      </c>
      <c r="H16" s="252" t="s">
        <v>328</v>
      </c>
      <c r="I16" s="252" t="s">
        <v>329</v>
      </c>
      <c r="J16" s="254">
        <v>506</v>
      </c>
      <c r="K16" s="17"/>
      <c r="L16" s="20">
        <f t="shared" si="0"/>
        <v>506</v>
      </c>
    </row>
    <row r="17" spans="2:12">
      <c r="B17" s="252" t="s">
        <v>321</v>
      </c>
      <c r="C17" s="252" t="s">
        <v>24</v>
      </c>
      <c r="D17" s="252" t="s">
        <v>330</v>
      </c>
      <c r="E17" s="253" t="s">
        <v>26</v>
      </c>
      <c r="F17" s="253" t="s">
        <v>27</v>
      </c>
      <c r="G17" s="252" t="s">
        <v>327</v>
      </c>
      <c r="H17" s="252" t="s">
        <v>33</v>
      </c>
      <c r="I17" s="252" t="s">
        <v>34</v>
      </c>
      <c r="J17" s="254">
        <v>326</v>
      </c>
      <c r="K17" s="17"/>
      <c r="L17" s="20">
        <f t="shared" si="0"/>
        <v>326</v>
      </c>
    </row>
    <row r="18" spans="2:12">
      <c r="B18" s="252" t="s">
        <v>321</v>
      </c>
      <c r="C18" s="252" t="s">
        <v>24</v>
      </c>
      <c r="D18" s="252" t="s">
        <v>331</v>
      </c>
      <c r="E18" s="253" t="s">
        <v>26</v>
      </c>
      <c r="F18" s="253" t="s">
        <v>27</v>
      </c>
      <c r="G18" s="252" t="s">
        <v>327</v>
      </c>
      <c r="H18" s="252" t="s">
        <v>39</v>
      </c>
      <c r="I18" s="252" t="s">
        <v>40</v>
      </c>
      <c r="J18" s="254">
        <v>429</v>
      </c>
      <c r="K18" s="17"/>
      <c r="L18" s="20">
        <f t="shared" si="0"/>
        <v>429</v>
      </c>
    </row>
    <row r="19" spans="2:12">
      <c r="B19" s="252" t="s">
        <v>321</v>
      </c>
      <c r="C19" s="252" t="s">
        <v>24</v>
      </c>
      <c r="D19" s="252" t="s">
        <v>332</v>
      </c>
      <c r="E19" s="253" t="s">
        <v>26</v>
      </c>
      <c r="F19" s="253" t="s">
        <v>27</v>
      </c>
      <c r="G19" s="252" t="s">
        <v>333</v>
      </c>
      <c r="H19" s="252" t="s">
        <v>36</v>
      </c>
      <c r="I19" s="252" t="s">
        <v>37</v>
      </c>
      <c r="J19" s="254">
        <v>1060</v>
      </c>
      <c r="K19" s="17"/>
      <c r="L19" s="20">
        <f t="shared" si="0"/>
        <v>1060</v>
      </c>
    </row>
    <row r="20" spans="2:12">
      <c r="B20" s="252" t="s">
        <v>321</v>
      </c>
      <c r="C20" s="252" t="s">
        <v>24</v>
      </c>
      <c r="D20" s="252" t="s">
        <v>334</v>
      </c>
      <c r="E20" s="253" t="s">
        <v>26</v>
      </c>
      <c r="F20" s="253" t="s">
        <v>27</v>
      </c>
      <c r="G20" s="252" t="s">
        <v>333</v>
      </c>
      <c r="H20" s="252" t="s">
        <v>29</v>
      </c>
      <c r="I20" s="252" t="s">
        <v>30</v>
      </c>
      <c r="J20" s="254">
        <v>652</v>
      </c>
      <c r="K20" s="17"/>
      <c r="L20" s="20">
        <f t="shared" si="0"/>
        <v>652</v>
      </c>
    </row>
    <row r="21" spans="2:12">
      <c r="B21" s="252" t="s">
        <v>321</v>
      </c>
      <c r="C21" s="252" t="s">
        <v>24</v>
      </c>
      <c r="D21" s="252" t="s">
        <v>335</v>
      </c>
      <c r="E21" s="253" t="s">
        <v>26</v>
      </c>
      <c r="F21" s="253" t="s">
        <v>27</v>
      </c>
      <c r="G21" s="252" t="s">
        <v>333</v>
      </c>
      <c r="H21" s="252" t="s">
        <v>42</v>
      </c>
      <c r="I21" s="252" t="s">
        <v>43</v>
      </c>
      <c r="J21" s="254">
        <v>1585</v>
      </c>
      <c r="K21" s="17"/>
      <c r="L21" s="20">
        <f t="shared" si="0"/>
        <v>1585</v>
      </c>
    </row>
    <row r="22" spans="2:12">
      <c r="B22" s="252" t="s">
        <v>321</v>
      </c>
      <c r="C22" s="252" t="s">
        <v>48</v>
      </c>
      <c r="D22" s="252" t="s">
        <v>336</v>
      </c>
      <c r="E22" s="253" t="s">
        <v>50</v>
      </c>
      <c r="F22" s="253" t="s">
        <v>47</v>
      </c>
      <c r="G22" s="252" t="s">
        <v>327</v>
      </c>
      <c r="H22" s="252" t="s">
        <v>47</v>
      </c>
      <c r="I22" s="252" t="s">
        <v>47</v>
      </c>
      <c r="J22" s="254">
        <v>0</v>
      </c>
      <c r="K22" s="17"/>
      <c r="L22" s="20">
        <f t="shared" si="0"/>
        <v>0</v>
      </c>
    </row>
    <row r="23" spans="2:12">
      <c r="B23" s="252" t="s">
        <v>321</v>
      </c>
      <c r="C23" s="252" t="s">
        <v>44</v>
      </c>
      <c r="D23" s="252" t="s">
        <v>337</v>
      </c>
      <c r="E23" s="253" t="s">
        <v>46</v>
      </c>
      <c r="F23" s="253" t="s">
        <v>47</v>
      </c>
      <c r="G23" s="252" t="s">
        <v>327</v>
      </c>
      <c r="H23" s="252" t="s">
        <v>47</v>
      </c>
      <c r="I23" s="252" t="s">
        <v>47</v>
      </c>
      <c r="J23" s="254">
        <v>0</v>
      </c>
      <c r="K23" s="17"/>
      <c r="L23" s="20">
        <f t="shared" si="0"/>
        <v>0</v>
      </c>
    </row>
    <row r="24" spans="2:12">
      <c r="B24" s="252"/>
      <c r="C24" s="252"/>
      <c r="D24" s="252"/>
      <c r="E24" s="253"/>
      <c r="F24" s="253"/>
      <c r="G24" s="252"/>
      <c r="H24" s="252"/>
      <c r="I24" s="252"/>
      <c r="J24" s="254"/>
      <c r="K24" s="17"/>
      <c r="L24" s="20"/>
    </row>
    <row r="25" spans="2:12">
      <c r="B25" s="252" t="s">
        <v>118</v>
      </c>
      <c r="C25" s="252" t="s">
        <v>24</v>
      </c>
      <c r="D25" s="252" t="s">
        <v>338</v>
      </c>
      <c r="E25" s="253" t="s">
        <v>26</v>
      </c>
      <c r="F25" s="253" t="s">
        <v>27</v>
      </c>
      <c r="G25" s="252" t="s">
        <v>339</v>
      </c>
      <c r="H25" s="252" t="s">
        <v>42</v>
      </c>
      <c r="I25" s="252" t="s">
        <v>43</v>
      </c>
      <c r="J25" s="254">
        <v>502</v>
      </c>
      <c r="K25" s="17">
        <v>499</v>
      </c>
      <c r="L25" s="20">
        <f t="shared" si="0"/>
        <v>3</v>
      </c>
    </row>
    <row r="26" spans="2:12">
      <c r="B26" s="252" t="s">
        <v>118</v>
      </c>
      <c r="C26" s="252" t="s">
        <v>24</v>
      </c>
      <c r="D26" s="252" t="s">
        <v>340</v>
      </c>
      <c r="E26" s="253" t="s">
        <v>26</v>
      </c>
      <c r="F26" s="253" t="s">
        <v>27</v>
      </c>
      <c r="G26" s="252" t="s">
        <v>341</v>
      </c>
      <c r="H26" s="252" t="s">
        <v>29</v>
      </c>
      <c r="I26" s="252" t="s">
        <v>30</v>
      </c>
      <c r="J26" s="254">
        <v>653</v>
      </c>
      <c r="K26" s="17">
        <v>650</v>
      </c>
      <c r="L26" s="20">
        <f t="shared" si="0"/>
        <v>3</v>
      </c>
    </row>
    <row r="27" spans="2:12">
      <c r="B27" s="252" t="s">
        <v>118</v>
      </c>
      <c r="C27" s="252" t="s">
        <v>24</v>
      </c>
      <c r="D27" s="252" t="s">
        <v>342</v>
      </c>
      <c r="E27" s="253" t="s">
        <v>26</v>
      </c>
      <c r="F27" s="253" t="s">
        <v>27</v>
      </c>
      <c r="G27" s="252" t="s">
        <v>341</v>
      </c>
      <c r="H27" s="252" t="s">
        <v>36</v>
      </c>
      <c r="I27" s="252" t="s">
        <v>37</v>
      </c>
      <c r="J27" s="254">
        <v>1198</v>
      </c>
      <c r="K27" s="17">
        <v>1193</v>
      </c>
      <c r="L27" s="20">
        <f t="shared" si="0"/>
        <v>5</v>
      </c>
    </row>
    <row r="28" spans="2:12">
      <c r="B28" s="252" t="s">
        <v>118</v>
      </c>
      <c r="C28" s="252" t="s">
        <v>24</v>
      </c>
      <c r="D28" s="252" t="s">
        <v>343</v>
      </c>
      <c r="E28" s="253" t="s">
        <v>26</v>
      </c>
      <c r="F28" s="253" t="s">
        <v>27</v>
      </c>
      <c r="G28" s="252" t="s">
        <v>341</v>
      </c>
      <c r="H28" s="252" t="s">
        <v>39</v>
      </c>
      <c r="I28" s="252" t="s">
        <v>40</v>
      </c>
      <c r="J28" s="254">
        <v>626</v>
      </c>
      <c r="K28" s="17">
        <v>624</v>
      </c>
      <c r="L28" s="20">
        <f t="shared" si="0"/>
        <v>2</v>
      </c>
    </row>
    <row r="29" spans="2:12">
      <c r="B29" s="252" t="s">
        <v>118</v>
      </c>
      <c r="C29" s="252" t="s">
        <v>24</v>
      </c>
      <c r="D29" s="252" t="s">
        <v>344</v>
      </c>
      <c r="E29" s="253" t="s">
        <v>26</v>
      </c>
      <c r="F29" s="253" t="s">
        <v>27</v>
      </c>
      <c r="G29" s="252" t="s">
        <v>341</v>
      </c>
      <c r="H29" s="252" t="s">
        <v>130</v>
      </c>
      <c r="I29" s="252" t="s">
        <v>131</v>
      </c>
      <c r="J29" s="254">
        <v>33</v>
      </c>
      <c r="K29" s="17">
        <v>33</v>
      </c>
      <c r="L29" s="20">
        <f t="shared" si="0"/>
        <v>0</v>
      </c>
    </row>
    <row r="30" spans="2:12">
      <c r="B30" s="252" t="s">
        <v>118</v>
      </c>
      <c r="C30" s="252" t="s">
        <v>48</v>
      </c>
      <c r="D30" s="252" t="s">
        <v>119</v>
      </c>
      <c r="E30" s="253" t="s">
        <v>50</v>
      </c>
      <c r="F30" s="253" t="s">
        <v>47</v>
      </c>
      <c r="G30" s="252" t="s">
        <v>120</v>
      </c>
      <c r="H30" s="252" t="s">
        <v>47</v>
      </c>
      <c r="I30" s="252" t="s">
        <v>47</v>
      </c>
      <c r="J30" s="254">
        <v>0</v>
      </c>
      <c r="K30" s="17"/>
      <c r="L30" s="20">
        <f t="shared" si="0"/>
        <v>0</v>
      </c>
    </row>
    <row r="31" spans="2:12">
      <c r="B31" s="252" t="s">
        <v>118</v>
      </c>
      <c r="C31" s="252" t="s">
        <v>44</v>
      </c>
      <c r="D31" s="252" t="s">
        <v>121</v>
      </c>
      <c r="E31" s="253" t="s">
        <v>46</v>
      </c>
      <c r="F31" s="253" t="s">
        <v>47</v>
      </c>
      <c r="G31" s="252" t="s">
        <v>120</v>
      </c>
      <c r="H31" s="252" t="s">
        <v>47</v>
      </c>
      <c r="I31" s="252" t="s">
        <v>47</v>
      </c>
      <c r="J31" s="254">
        <v>0</v>
      </c>
      <c r="K31" s="17"/>
      <c r="L31" s="20">
        <f t="shared" ref="L31:L91" si="1">+J31-K31</f>
        <v>0</v>
      </c>
    </row>
    <row r="32" spans="2:12">
      <c r="B32" s="7"/>
      <c r="C32" s="7"/>
      <c r="D32" s="7"/>
      <c r="E32" s="250"/>
      <c r="F32" s="8"/>
      <c r="G32" s="7"/>
      <c r="H32" s="7"/>
      <c r="I32" s="7"/>
      <c r="J32" s="14"/>
      <c r="K32" s="17"/>
      <c r="L32" s="20"/>
    </row>
    <row r="33" spans="2:12">
      <c r="B33" s="7" t="s">
        <v>122</v>
      </c>
      <c r="C33" s="7" t="s">
        <v>24</v>
      </c>
      <c r="D33" s="7" t="s">
        <v>128</v>
      </c>
      <c r="E33" s="8" t="s">
        <v>26</v>
      </c>
      <c r="F33" s="8" t="s">
        <v>27</v>
      </c>
      <c r="G33" s="7" t="s">
        <v>129</v>
      </c>
      <c r="H33" s="7" t="s">
        <v>130</v>
      </c>
      <c r="I33" s="7" t="s">
        <v>131</v>
      </c>
      <c r="J33" s="14">
        <v>29</v>
      </c>
      <c r="K33" s="17">
        <v>29</v>
      </c>
      <c r="L33" s="20">
        <f t="shared" si="1"/>
        <v>0</v>
      </c>
    </row>
    <row r="34" spans="2:12">
      <c r="B34" s="7" t="s">
        <v>122</v>
      </c>
      <c r="C34" s="7" t="s">
        <v>24</v>
      </c>
      <c r="D34" s="7" t="s">
        <v>132</v>
      </c>
      <c r="E34" s="8" t="s">
        <v>26</v>
      </c>
      <c r="F34" s="8" t="s">
        <v>27</v>
      </c>
      <c r="G34" s="7" t="s">
        <v>129</v>
      </c>
      <c r="H34" s="7" t="s">
        <v>133</v>
      </c>
      <c r="I34" s="7" t="s">
        <v>134</v>
      </c>
      <c r="J34" s="14">
        <v>32</v>
      </c>
      <c r="K34" s="17">
        <v>32</v>
      </c>
      <c r="L34" s="20">
        <f t="shared" si="1"/>
        <v>0</v>
      </c>
    </row>
    <row r="35" spans="2:12">
      <c r="B35" s="7" t="s">
        <v>122</v>
      </c>
      <c r="C35" s="7" t="s">
        <v>24</v>
      </c>
      <c r="D35" s="7" t="s">
        <v>123</v>
      </c>
      <c r="E35" s="8" t="s">
        <v>26</v>
      </c>
      <c r="F35" s="8" t="s">
        <v>27</v>
      </c>
      <c r="G35" s="7" t="s">
        <v>124</v>
      </c>
      <c r="H35" s="7" t="s">
        <v>33</v>
      </c>
      <c r="I35" s="7" t="s">
        <v>34</v>
      </c>
      <c r="J35" s="14">
        <v>551</v>
      </c>
      <c r="K35" s="17">
        <v>551</v>
      </c>
      <c r="L35" s="20">
        <f t="shared" si="1"/>
        <v>0</v>
      </c>
    </row>
    <row r="36" spans="2:12">
      <c r="B36" s="7" t="s">
        <v>122</v>
      </c>
      <c r="C36" s="7" t="s">
        <v>24</v>
      </c>
      <c r="D36" s="7" t="s">
        <v>125</v>
      </c>
      <c r="E36" s="8" t="s">
        <v>26</v>
      </c>
      <c r="F36" s="8" t="s">
        <v>27</v>
      </c>
      <c r="G36" s="7" t="s">
        <v>124</v>
      </c>
      <c r="H36" s="7" t="s">
        <v>29</v>
      </c>
      <c r="I36" s="7" t="s">
        <v>30</v>
      </c>
      <c r="J36" s="14">
        <v>651</v>
      </c>
      <c r="K36" s="17">
        <v>650</v>
      </c>
      <c r="L36" s="20">
        <f t="shared" si="1"/>
        <v>1</v>
      </c>
    </row>
    <row r="37" spans="2:12">
      <c r="B37" s="7" t="s">
        <v>122</v>
      </c>
      <c r="C37" s="7" t="s">
        <v>24</v>
      </c>
      <c r="D37" s="7" t="s">
        <v>126</v>
      </c>
      <c r="E37" s="8" t="s">
        <v>26</v>
      </c>
      <c r="F37" s="8" t="s">
        <v>27</v>
      </c>
      <c r="G37" s="7" t="s">
        <v>124</v>
      </c>
      <c r="H37" s="7" t="s">
        <v>39</v>
      </c>
      <c r="I37" s="7" t="s">
        <v>40</v>
      </c>
      <c r="J37" s="14">
        <v>624</v>
      </c>
      <c r="K37" s="17">
        <v>624</v>
      </c>
      <c r="L37" s="20">
        <f t="shared" si="1"/>
        <v>0</v>
      </c>
    </row>
    <row r="38" spans="2:12">
      <c r="B38" s="7" t="s">
        <v>122</v>
      </c>
      <c r="C38" s="7" t="s">
        <v>24</v>
      </c>
      <c r="D38" s="7" t="s">
        <v>127</v>
      </c>
      <c r="E38" s="8" t="s">
        <v>26</v>
      </c>
      <c r="F38" s="8" t="s">
        <v>27</v>
      </c>
      <c r="G38" s="7" t="s">
        <v>124</v>
      </c>
      <c r="H38" s="7" t="s">
        <v>36</v>
      </c>
      <c r="I38" s="7" t="s">
        <v>37</v>
      </c>
      <c r="J38" s="14">
        <v>1470</v>
      </c>
      <c r="K38" s="17">
        <v>1470</v>
      </c>
      <c r="L38" s="20">
        <f t="shared" si="1"/>
        <v>0</v>
      </c>
    </row>
    <row r="39" spans="2:12">
      <c r="B39" s="7" t="s">
        <v>122</v>
      </c>
      <c r="C39" s="7" t="s">
        <v>48</v>
      </c>
      <c r="D39" s="7" t="s">
        <v>135</v>
      </c>
      <c r="E39" s="8" t="s">
        <v>50</v>
      </c>
      <c r="F39" s="8" t="s">
        <v>47</v>
      </c>
      <c r="G39" s="7" t="s">
        <v>136</v>
      </c>
      <c r="H39" s="7" t="s">
        <v>47</v>
      </c>
      <c r="I39" s="7" t="s">
        <v>47</v>
      </c>
      <c r="J39" s="14">
        <v>0</v>
      </c>
      <c r="K39" s="17"/>
      <c r="L39" s="20">
        <f t="shared" si="1"/>
        <v>0</v>
      </c>
    </row>
    <row r="40" spans="2:12">
      <c r="B40" s="7" t="s">
        <v>122</v>
      </c>
      <c r="C40" s="7" t="s">
        <v>44</v>
      </c>
      <c r="D40" s="7" t="s">
        <v>137</v>
      </c>
      <c r="E40" s="8" t="s">
        <v>46</v>
      </c>
      <c r="F40" s="8" t="s">
        <v>47</v>
      </c>
      <c r="G40" s="7" t="s">
        <v>136</v>
      </c>
      <c r="H40" s="7" t="s">
        <v>47</v>
      </c>
      <c r="I40" s="7" t="s">
        <v>47</v>
      </c>
      <c r="J40" s="14">
        <v>0</v>
      </c>
      <c r="K40" s="17"/>
      <c r="L40" s="20">
        <f t="shared" si="1"/>
        <v>0</v>
      </c>
    </row>
    <row r="41" spans="2:12">
      <c r="B41" s="7"/>
      <c r="C41" s="7"/>
      <c r="D41" s="7"/>
      <c r="E41" s="8"/>
      <c r="F41" s="8"/>
      <c r="G41" s="7"/>
      <c r="H41" s="7"/>
      <c r="I41" s="7"/>
      <c r="J41" s="14"/>
      <c r="K41" s="17"/>
      <c r="L41" s="20"/>
    </row>
    <row r="42" spans="2:12" s="2" customFormat="1" ht="12.75" customHeight="1">
      <c r="B42" s="7" t="s">
        <v>21</v>
      </c>
      <c r="C42" s="7" t="s">
        <v>24</v>
      </c>
      <c r="D42" s="7" t="s">
        <v>31</v>
      </c>
      <c r="E42" s="8" t="s">
        <v>26</v>
      </c>
      <c r="F42" s="8" t="s">
        <v>27</v>
      </c>
      <c r="G42" s="7" t="s">
        <v>32</v>
      </c>
      <c r="H42" s="7" t="s">
        <v>33</v>
      </c>
      <c r="I42" s="7" t="s">
        <v>34</v>
      </c>
      <c r="J42" s="14">
        <v>551</v>
      </c>
      <c r="K42" s="17">
        <v>551</v>
      </c>
      <c r="L42" s="20">
        <f t="shared" si="1"/>
        <v>0</v>
      </c>
    </row>
    <row r="43" spans="2:12" ht="12.75" customHeight="1">
      <c r="B43" s="7" t="s">
        <v>21</v>
      </c>
      <c r="C43" s="7" t="s">
        <v>24</v>
      </c>
      <c r="D43" s="7" t="s">
        <v>35</v>
      </c>
      <c r="E43" s="8" t="s">
        <v>26</v>
      </c>
      <c r="F43" s="8" t="s">
        <v>27</v>
      </c>
      <c r="G43" s="7" t="s">
        <v>32</v>
      </c>
      <c r="H43" s="7" t="s">
        <v>36</v>
      </c>
      <c r="I43" s="7" t="s">
        <v>37</v>
      </c>
      <c r="J43" s="14">
        <v>1469</v>
      </c>
      <c r="K43" s="17">
        <v>1469</v>
      </c>
      <c r="L43" s="20">
        <f t="shared" si="1"/>
        <v>0</v>
      </c>
    </row>
    <row r="44" spans="2:12" ht="12.75" customHeight="1">
      <c r="B44" s="7" t="s">
        <v>21</v>
      </c>
      <c r="C44" s="7" t="s">
        <v>24</v>
      </c>
      <c r="D44" s="7" t="s">
        <v>38</v>
      </c>
      <c r="E44" s="8" t="s">
        <v>26</v>
      </c>
      <c r="F44" s="8" t="s">
        <v>27</v>
      </c>
      <c r="G44" s="7" t="s">
        <v>32</v>
      </c>
      <c r="H44" s="7" t="s">
        <v>39</v>
      </c>
      <c r="I44" s="7" t="s">
        <v>40</v>
      </c>
      <c r="J44" s="14">
        <v>624</v>
      </c>
      <c r="K44" s="17">
        <v>624</v>
      </c>
      <c r="L44" s="20">
        <f t="shared" si="1"/>
        <v>0</v>
      </c>
    </row>
    <row r="45" spans="2:12" ht="12.75" customHeight="1">
      <c r="B45" s="7" t="s">
        <v>21</v>
      </c>
      <c r="C45" s="7" t="s">
        <v>24</v>
      </c>
      <c r="D45" s="7" t="s">
        <v>41</v>
      </c>
      <c r="E45" s="8" t="s">
        <v>26</v>
      </c>
      <c r="F45" s="8" t="s">
        <v>27</v>
      </c>
      <c r="G45" s="7" t="s">
        <v>32</v>
      </c>
      <c r="H45" s="7" t="s">
        <v>42</v>
      </c>
      <c r="I45" s="7" t="s">
        <v>43</v>
      </c>
      <c r="J45" s="14">
        <v>37</v>
      </c>
      <c r="K45" s="18">
        <v>37</v>
      </c>
      <c r="L45" s="20">
        <f t="shared" si="1"/>
        <v>0</v>
      </c>
    </row>
    <row r="46" spans="2:12" ht="12.75" customHeight="1">
      <c r="B46" s="7" t="s">
        <v>21</v>
      </c>
      <c r="C46" s="7" t="s">
        <v>48</v>
      </c>
      <c r="D46" s="7" t="s">
        <v>49</v>
      </c>
      <c r="E46" s="8" t="s">
        <v>50</v>
      </c>
      <c r="F46" s="8" t="s">
        <v>47</v>
      </c>
      <c r="G46" s="7" t="s">
        <v>32</v>
      </c>
      <c r="H46" s="7" t="s">
        <v>47</v>
      </c>
      <c r="I46" s="7" t="s">
        <v>47</v>
      </c>
      <c r="J46" s="14">
        <v>0</v>
      </c>
      <c r="K46" s="18"/>
      <c r="L46" s="20">
        <f t="shared" si="1"/>
        <v>0</v>
      </c>
    </row>
    <row r="47" spans="2:12" ht="12.75" customHeight="1">
      <c r="B47" s="7" t="s">
        <v>21</v>
      </c>
      <c r="C47" s="7" t="s">
        <v>24</v>
      </c>
      <c r="D47" s="7" t="s">
        <v>25</v>
      </c>
      <c r="E47" s="8" t="s">
        <v>26</v>
      </c>
      <c r="F47" s="8" t="s">
        <v>27</v>
      </c>
      <c r="G47" s="7" t="s">
        <v>28</v>
      </c>
      <c r="H47" s="7" t="s">
        <v>29</v>
      </c>
      <c r="I47" s="7" t="s">
        <v>30</v>
      </c>
      <c r="J47" s="14">
        <v>650</v>
      </c>
      <c r="K47" s="18">
        <v>650</v>
      </c>
      <c r="L47" s="20">
        <f t="shared" si="1"/>
        <v>0</v>
      </c>
    </row>
    <row r="48" spans="2:12" ht="12.75" customHeight="1">
      <c r="B48" s="7" t="s">
        <v>21</v>
      </c>
      <c r="C48" s="7" t="s">
        <v>44</v>
      </c>
      <c r="D48" s="7" t="s">
        <v>45</v>
      </c>
      <c r="E48" s="8" t="s">
        <v>46</v>
      </c>
      <c r="F48" s="8" t="s">
        <v>47</v>
      </c>
      <c r="G48" s="7" t="s">
        <v>28</v>
      </c>
      <c r="H48" s="7" t="s">
        <v>47</v>
      </c>
      <c r="I48" s="7" t="s">
        <v>47</v>
      </c>
      <c r="J48" s="14">
        <v>0</v>
      </c>
      <c r="K48" s="18"/>
      <c r="L48" s="20">
        <f t="shared" si="1"/>
        <v>0</v>
      </c>
    </row>
    <row r="49" spans="2:12" ht="12.75" customHeight="1">
      <c r="B49" s="7" t="s">
        <v>51</v>
      </c>
      <c r="C49" s="7" t="s">
        <v>24</v>
      </c>
      <c r="D49" s="7" t="s">
        <v>61</v>
      </c>
      <c r="E49" s="8" t="s">
        <v>26</v>
      </c>
      <c r="F49" s="8" t="s">
        <v>27</v>
      </c>
      <c r="G49" s="7" t="s">
        <v>62</v>
      </c>
      <c r="H49" s="7" t="s">
        <v>42</v>
      </c>
      <c r="I49" s="7" t="s">
        <v>43</v>
      </c>
      <c r="J49" s="14">
        <v>135</v>
      </c>
      <c r="K49" s="18">
        <v>135</v>
      </c>
      <c r="L49" s="20">
        <f t="shared" si="1"/>
        <v>0</v>
      </c>
    </row>
    <row r="50" spans="2:12" ht="12.75" customHeight="1">
      <c r="B50" s="7" t="s">
        <v>51</v>
      </c>
      <c r="C50" s="7" t="s">
        <v>24</v>
      </c>
      <c r="D50" s="7" t="s">
        <v>59</v>
      </c>
      <c r="E50" s="8" t="s">
        <v>26</v>
      </c>
      <c r="F50" s="8" t="s">
        <v>27</v>
      </c>
      <c r="G50" s="7" t="s">
        <v>60</v>
      </c>
      <c r="H50" s="7" t="s">
        <v>42</v>
      </c>
      <c r="I50" s="7" t="s">
        <v>43</v>
      </c>
      <c r="J50" s="14">
        <v>60</v>
      </c>
      <c r="K50" s="18">
        <v>60</v>
      </c>
      <c r="L50" s="20">
        <f t="shared" si="1"/>
        <v>0</v>
      </c>
    </row>
    <row r="51" spans="2:12" ht="12.75" customHeight="1">
      <c r="B51" s="7"/>
      <c r="C51" s="7"/>
      <c r="D51" s="7"/>
      <c r="E51" s="8"/>
      <c r="F51" s="8"/>
      <c r="G51" s="7"/>
      <c r="H51" s="7"/>
      <c r="I51" s="7"/>
      <c r="J51" s="14"/>
      <c r="K51" s="18"/>
      <c r="L51" s="20"/>
    </row>
    <row r="52" spans="2:12" ht="12.75" customHeight="1">
      <c r="B52" s="7" t="s">
        <v>51</v>
      </c>
      <c r="C52" s="7" t="s">
        <v>24</v>
      </c>
      <c r="D52" s="7" t="s">
        <v>57</v>
      </c>
      <c r="E52" s="8" t="s">
        <v>26</v>
      </c>
      <c r="F52" s="8" t="s">
        <v>27</v>
      </c>
      <c r="G52" s="7" t="s">
        <v>58</v>
      </c>
      <c r="H52" s="7" t="s">
        <v>42</v>
      </c>
      <c r="I52" s="7" t="s">
        <v>43</v>
      </c>
      <c r="J52" s="14">
        <v>50</v>
      </c>
      <c r="K52" s="18">
        <v>50</v>
      </c>
      <c r="L52" s="20">
        <f t="shared" si="1"/>
        <v>0</v>
      </c>
    </row>
    <row r="53" spans="2:12" ht="12.75" customHeight="1">
      <c r="B53" s="7" t="s">
        <v>51</v>
      </c>
      <c r="C53" s="7" t="s">
        <v>24</v>
      </c>
      <c r="D53" s="7" t="s">
        <v>52</v>
      </c>
      <c r="E53" s="8" t="s">
        <v>26</v>
      </c>
      <c r="F53" s="8" t="s">
        <v>27</v>
      </c>
      <c r="G53" s="7" t="s">
        <v>53</v>
      </c>
      <c r="H53" s="7" t="s">
        <v>36</v>
      </c>
      <c r="I53" s="7" t="s">
        <v>37</v>
      </c>
      <c r="J53" s="14">
        <v>1469</v>
      </c>
      <c r="K53" s="18">
        <v>1469</v>
      </c>
      <c r="L53" s="20">
        <f t="shared" si="1"/>
        <v>0</v>
      </c>
    </row>
    <row r="54" spans="2:12" ht="12.75" customHeight="1">
      <c r="B54" s="7" t="s">
        <v>51</v>
      </c>
      <c r="C54" s="7" t="s">
        <v>24</v>
      </c>
      <c r="D54" s="7" t="s">
        <v>54</v>
      </c>
      <c r="E54" s="8" t="s">
        <v>26</v>
      </c>
      <c r="F54" s="8" t="s">
        <v>27</v>
      </c>
      <c r="G54" s="7" t="s">
        <v>53</v>
      </c>
      <c r="H54" s="7" t="s">
        <v>39</v>
      </c>
      <c r="I54" s="7" t="s">
        <v>40</v>
      </c>
      <c r="J54" s="14">
        <v>624</v>
      </c>
      <c r="K54" s="18">
        <v>624</v>
      </c>
      <c r="L54" s="20">
        <f t="shared" si="1"/>
        <v>0</v>
      </c>
    </row>
    <row r="55" spans="2:12" ht="12.75" customHeight="1">
      <c r="B55" s="7" t="s">
        <v>51</v>
      </c>
      <c r="C55" s="7" t="s">
        <v>24</v>
      </c>
      <c r="D55" s="7" t="s">
        <v>55</v>
      </c>
      <c r="E55" s="8" t="s">
        <v>26</v>
      </c>
      <c r="F55" s="8" t="s">
        <v>27</v>
      </c>
      <c r="G55" s="7" t="s">
        <v>53</v>
      </c>
      <c r="H55" s="7" t="s">
        <v>29</v>
      </c>
      <c r="I55" s="7" t="s">
        <v>30</v>
      </c>
      <c r="J55" s="14">
        <v>650</v>
      </c>
      <c r="K55" s="18">
        <v>650</v>
      </c>
      <c r="L55" s="20">
        <f t="shared" si="1"/>
        <v>0</v>
      </c>
    </row>
    <row r="56" spans="2:12" ht="12.75" customHeight="1">
      <c r="B56" s="7" t="s">
        <v>51</v>
      </c>
      <c r="C56" s="7" t="s">
        <v>24</v>
      </c>
      <c r="D56" s="7" t="s">
        <v>56</v>
      </c>
      <c r="E56" s="8" t="s">
        <v>26</v>
      </c>
      <c r="F56" s="8" t="s">
        <v>27</v>
      </c>
      <c r="G56" s="7" t="s">
        <v>53</v>
      </c>
      <c r="H56" s="7" t="s">
        <v>33</v>
      </c>
      <c r="I56" s="7" t="s">
        <v>34</v>
      </c>
      <c r="J56" s="14">
        <v>551</v>
      </c>
      <c r="K56" s="18">
        <v>551</v>
      </c>
      <c r="L56" s="20">
        <f t="shared" si="1"/>
        <v>0</v>
      </c>
    </row>
    <row r="57" spans="2:12" ht="12.75" customHeight="1">
      <c r="B57" s="7" t="s">
        <v>51</v>
      </c>
      <c r="C57" s="7" t="s">
        <v>48</v>
      </c>
      <c r="D57" s="7" t="s">
        <v>65</v>
      </c>
      <c r="E57" s="8" t="s">
        <v>50</v>
      </c>
      <c r="F57" s="8" t="s">
        <v>47</v>
      </c>
      <c r="G57" s="7" t="s">
        <v>53</v>
      </c>
      <c r="H57" s="7" t="s">
        <v>47</v>
      </c>
      <c r="I57" s="7" t="s">
        <v>47</v>
      </c>
      <c r="J57" s="14">
        <v>0</v>
      </c>
      <c r="K57" s="18"/>
      <c r="L57" s="20">
        <f t="shared" si="1"/>
        <v>0</v>
      </c>
    </row>
    <row r="58" spans="2:12" ht="12.75" customHeight="1">
      <c r="B58" s="7" t="s">
        <v>51</v>
      </c>
      <c r="C58" s="7" t="s">
        <v>44</v>
      </c>
      <c r="D58" s="7" t="s">
        <v>63</v>
      </c>
      <c r="E58" s="8" t="s">
        <v>46</v>
      </c>
      <c r="F58" s="8" t="s">
        <v>47</v>
      </c>
      <c r="G58" s="7" t="s">
        <v>64</v>
      </c>
      <c r="H58" s="7" t="s">
        <v>47</v>
      </c>
      <c r="I58" s="7" t="s">
        <v>47</v>
      </c>
      <c r="J58" s="14">
        <v>0</v>
      </c>
      <c r="K58" s="18"/>
      <c r="L58" s="20">
        <f t="shared" si="1"/>
        <v>0</v>
      </c>
    </row>
    <row r="59" spans="2:12" ht="12.75" customHeight="1">
      <c r="B59" s="10"/>
      <c r="C59" s="10"/>
      <c r="D59" s="10"/>
      <c r="E59" s="10"/>
      <c r="F59" s="10"/>
      <c r="G59" s="10"/>
      <c r="H59" s="10"/>
      <c r="I59" s="10"/>
      <c r="J59" s="15"/>
      <c r="K59" s="18"/>
      <c r="L59" s="20"/>
    </row>
    <row r="60" spans="2:12" ht="12.75" customHeight="1">
      <c r="B60" s="7" t="s">
        <v>66</v>
      </c>
      <c r="C60" s="7" t="s">
        <v>24</v>
      </c>
      <c r="D60" s="7" t="s">
        <v>67</v>
      </c>
      <c r="E60" s="8" t="s">
        <v>26</v>
      </c>
      <c r="F60" s="8" t="s">
        <v>27</v>
      </c>
      <c r="G60" s="7" t="s">
        <v>68</v>
      </c>
      <c r="H60" s="7" t="s">
        <v>36</v>
      </c>
      <c r="I60" s="7" t="s">
        <v>37</v>
      </c>
      <c r="J60" s="14">
        <v>1469</v>
      </c>
      <c r="K60" s="18">
        <v>1469</v>
      </c>
      <c r="L60" s="20">
        <f t="shared" si="1"/>
        <v>0</v>
      </c>
    </row>
    <row r="61" spans="2:12" ht="12.75" customHeight="1">
      <c r="B61" s="7" t="s">
        <v>66</v>
      </c>
      <c r="C61" s="7" t="s">
        <v>24</v>
      </c>
      <c r="D61" s="7" t="s">
        <v>69</v>
      </c>
      <c r="E61" s="8" t="s">
        <v>26</v>
      </c>
      <c r="F61" s="8" t="s">
        <v>27</v>
      </c>
      <c r="G61" s="7" t="s">
        <v>68</v>
      </c>
      <c r="H61" s="7" t="s">
        <v>33</v>
      </c>
      <c r="I61" s="7" t="s">
        <v>34</v>
      </c>
      <c r="J61" s="14">
        <v>551</v>
      </c>
      <c r="K61" s="18">
        <v>551</v>
      </c>
      <c r="L61" s="20">
        <f t="shared" si="1"/>
        <v>0</v>
      </c>
    </row>
    <row r="62" spans="2:12" ht="12.75" customHeight="1">
      <c r="B62" s="7" t="s">
        <v>66</v>
      </c>
      <c r="C62" s="7" t="s">
        <v>24</v>
      </c>
      <c r="D62" s="7" t="s">
        <v>70</v>
      </c>
      <c r="E62" s="8" t="s">
        <v>26</v>
      </c>
      <c r="F62" s="8" t="s">
        <v>27</v>
      </c>
      <c r="G62" s="7" t="s">
        <v>68</v>
      </c>
      <c r="H62" s="7" t="s">
        <v>39</v>
      </c>
      <c r="I62" s="7" t="s">
        <v>40</v>
      </c>
      <c r="J62" s="14">
        <v>624</v>
      </c>
      <c r="K62" s="18">
        <v>624</v>
      </c>
      <c r="L62" s="20">
        <f t="shared" si="1"/>
        <v>0</v>
      </c>
    </row>
    <row r="63" spans="2:12" ht="12.75" customHeight="1">
      <c r="B63" s="7" t="s">
        <v>66</v>
      </c>
      <c r="C63" s="7" t="s">
        <v>24</v>
      </c>
      <c r="D63" s="7" t="s">
        <v>71</v>
      </c>
      <c r="E63" s="8" t="s">
        <v>26</v>
      </c>
      <c r="F63" s="8" t="s">
        <v>27</v>
      </c>
      <c r="G63" s="7" t="s">
        <v>68</v>
      </c>
      <c r="H63" s="7" t="s">
        <v>29</v>
      </c>
      <c r="I63" s="7" t="s">
        <v>30</v>
      </c>
      <c r="J63" s="14">
        <v>650</v>
      </c>
      <c r="K63" s="18">
        <v>650</v>
      </c>
      <c r="L63" s="20">
        <f t="shared" si="1"/>
        <v>0</v>
      </c>
    </row>
    <row r="64" spans="2:12" ht="12.75" customHeight="1">
      <c r="B64" s="7" t="s">
        <v>66</v>
      </c>
      <c r="C64" s="7" t="s">
        <v>24</v>
      </c>
      <c r="D64" s="7" t="s">
        <v>72</v>
      </c>
      <c r="E64" s="8" t="s">
        <v>26</v>
      </c>
      <c r="F64" s="8" t="s">
        <v>27</v>
      </c>
      <c r="G64" s="7" t="s">
        <v>68</v>
      </c>
      <c r="H64" s="7" t="s">
        <v>42</v>
      </c>
      <c r="I64" s="7" t="s">
        <v>43</v>
      </c>
      <c r="J64" s="14">
        <v>318</v>
      </c>
      <c r="K64" s="18">
        <v>318</v>
      </c>
      <c r="L64" s="20">
        <f t="shared" si="1"/>
        <v>0</v>
      </c>
    </row>
    <row r="65" spans="2:12" ht="12.75" customHeight="1">
      <c r="B65" s="7" t="s">
        <v>66</v>
      </c>
      <c r="C65" s="7" t="s">
        <v>48</v>
      </c>
      <c r="D65" s="7" t="s">
        <v>73</v>
      </c>
      <c r="E65" s="8" t="s">
        <v>50</v>
      </c>
      <c r="F65" s="8" t="s">
        <v>47</v>
      </c>
      <c r="G65" s="7" t="s">
        <v>68</v>
      </c>
      <c r="H65" s="7" t="s">
        <v>47</v>
      </c>
      <c r="I65" s="7" t="s">
        <v>47</v>
      </c>
      <c r="J65" s="14">
        <v>0</v>
      </c>
      <c r="K65" s="18"/>
      <c r="L65" s="20">
        <f t="shared" si="1"/>
        <v>0</v>
      </c>
    </row>
    <row r="66" spans="2:12" ht="12.75" customHeight="1">
      <c r="B66" s="7" t="s">
        <v>66</v>
      </c>
      <c r="C66" s="7" t="s">
        <v>44</v>
      </c>
      <c r="D66" s="7" t="s">
        <v>74</v>
      </c>
      <c r="E66" s="8" t="s">
        <v>46</v>
      </c>
      <c r="F66" s="8" t="s">
        <v>47</v>
      </c>
      <c r="G66" s="7" t="s">
        <v>68</v>
      </c>
      <c r="H66" s="7" t="s">
        <v>47</v>
      </c>
      <c r="I66" s="7" t="s">
        <v>47</v>
      </c>
      <c r="J66" s="9">
        <v>0</v>
      </c>
      <c r="K66" s="18"/>
      <c r="L66" s="20">
        <f t="shared" si="1"/>
        <v>0</v>
      </c>
    </row>
    <row r="67" spans="2:12" ht="12.75" customHeight="1">
      <c r="B67" s="10"/>
      <c r="C67" s="10"/>
      <c r="D67" s="10"/>
      <c r="E67" s="10"/>
      <c r="F67" s="10"/>
      <c r="G67" s="10"/>
      <c r="H67" s="10"/>
      <c r="I67" s="10"/>
      <c r="J67" s="10"/>
      <c r="K67" s="18"/>
      <c r="L67" s="20">
        <f t="shared" si="1"/>
        <v>0</v>
      </c>
    </row>
    <row r="68" spans="2:12" ht="12.75" customHeight="1">
      <c r="B68" s="7" t="s">
        <v>75</v>
      </c>
      <c r="C68" s="7" t="s">
        <v>24</v>
      </c>
      <c r="D68" s="7" t="s">
        <v>88</v>
      </c>
      <c r="E68" s="8" t="s">
        <v>26</v>
      </c>
      <c r="F68" s="8" t="s">
        <v>27</v>
      </c>
      <c r="G68" s="7" t="s">
        <v>89</v>
      </c>
      <c r="H68" s="7" t="s">
        <v>42</v>
      </c>
      <c r="I68" s="7" t="s">
        <v>43</v>
      </c>
      <c r="J68" s="9">
        <v>148</v>
      </c>
      <c r="K68" s="18">
        <v>148</v>
      </c>
      <c r="L68" s="20">
        <f t="shared" si="1"/>
        <v>0</v>
      </c>
    </row>
    <row r="69" spans="2:12" ht="12.75" customHeight="1">
      <c r="B69" s="7" t="s">
        <v>75</v>
      </c>
      <c r="C69" s="7" t="s">
        <v>48</v>
      </c>
      <c r="D69" s="7" t="s">
        <v>90</v>
      </c>
      <c r="E69" s="8" t="s">
        <v>50</v>
      </c>
      <c r="F69" s="8" t="s">
        <v>47</v>
      </c>
      <c r="G69" s="7" t="s">
        <v>91</v>
      </c>
      <c r="H69" s="7" t="s">
        <v>47</v>
      </c>
      <c r="I69" s="7" t="s">
        <v>47</v>
      </c>
      <c r="J69" s="9">
        <v>0</v>
      </c>
      <c r="K69" s="18"/>
      <c r="L69" s="20">
        <f t="shared" si="1"/>
        <v>0</v>
      </c>
    </row>
    <row r="70" spans="2:12" ht="12.75" customHeight="1">
      <c r="B70" s="7" t="s">
        <v>75</v>
      </c>
      <c r="C70" s="7" t="s">
        <v>44</v>
      </c>
      <c r="D70" s="7" t="s">
        <v>92</v>
      </c>
      <c r="E70" s="8" t="s">
        <v>46</v>
      </c>
      <c r="F70" s="8" t="s">
        <v>47</v>
      </c>
      <c r="G70" s="7" t="s">
        <v>91</v>
      </c>
      <c r="H70" s="7" t="s">
        <v>47</v>
      </c>
      <c r="I70" s="7" t="s">
        <v>47</v>
      </c>
      <c r="J70" s="9">
        <v>0</v>
      </c>
      <c r="K70" s="18"/>
      <c r="L70" s="20">
        <f t="shared" si="1"/>
        <v>0</v>
      </c>
    </row>
    <row r="71" spans="2:12" ht="12.75" customHeight="1">
      <c r="B71" s="7" t="s">
        <v>75</v>
      </c>
      <c r="C71" s="7" t="s">
        <v>93</v>
      </c>
      <c r="D71" s="7" t="s">
        <v>94</v>
      </c>
      <c r="E71" s="8" t="s">
        <v>95</v>
      </c>
      <c r="F71" s="8" t="s">
        <v>47</v>
      </c>
      <c r="G71" s="7" t="s">
        <v>91</v>
      </c>
      <c r="H71" s="7" t="s">
        <v>47</v>
      </c>
      <c r="I71" s="7" t="s">
        <v>47</v>
      </c>
      <c r="J71" s="9">
        <v>0</v>
      </c>
      <c r="K71" s="18"/>
      <c r="L71" s="20">
        <f t="shared" si="1"/>
        <v>0</v>
      </c>
    </row>
    <row r="72" spans="2:12" ht="12.75" customHeight="1">
      <c r="B72" s="7" t="s">
        <v>75</v>
      </c>
      <c r="C72" s="7" t="s">
        <v>24</v>
      </c>
      <c r="D72" s="7" t="s">
        <v>86</v>
      </c>
      <c r="E72" s="8" t="s">
        <v>26</v>
      </c>
      <c r="F72" s="8" t="s">
        <v>27</v>
      </c>
      <c r="G72" s="7" t="s">
        <v>87</v>
      </c>
      <c r="H72" s="7" t="s">
        <v>42</v>
      </c>
      <c r="I72" s="7" t="s">
        <v>43</v>
      </c>
      <c r="J72" s="9">
        <v>150</v>
      </c>
      <c r="K72" s="18">
        <v>150</v>
      </c>
      <c r="L72" s="20">
        <f t="shared" si="1"/>
        <v>0</v>
      </c>
    </row>
    <row r="73" spans="2:12" ht="12.75" customHeight="1">
      <c r="B73" s="7" t="s">
        <v>75</v>
      </c>
      <c r="C73" s="7" t="s">
        <v>24</v>
      </c>
      <c r="D73" s="7" t="s">
        <v>80</v>
      </c>
      <c r="E73" s="8" t="s">
        <v>26</v>
      </c>
      <c r="F73" s="8" t="s">
        <v>27</v>
      </c>
      <c r="G73" s="7" t="s">
        <v>81</v>
      </c>
      <c r="H73" s="7" t="s">
        <v>42</v>
      </c>
      <c r="I73" s="7" t="s">
        <v>43</v>
      </c>
      <c r="J73" s="9">
        <v>87</v>
      </c>
      <c r="K73" s="18">
        <v>87</v>
      </c>
      <c r="L73" s="20">
        <f t="shared" si="1"/>
        <v>0</v>
      </c>
    </row>
    <row r="74" spans="2:12" ht="12.75" customHeight="1">
      <c r="B74" s="7" t="s">
        <v>75</v>
      </c>
      <c r="C74" s="7" t="s">
        <v>24</v>
      </c>
      <c r="D74" s="7" t="s">
        <v>82</v>
      </c>
      <c r="E74" s="8" t="s">
        <v>26</v>
      </c>
      <c r="F74" s="8" t="s">
        <v>27</v>
      </c>
      <c r="G74" s="7" t="s">
        <v>81</v>
      </c>
      <c r="H74" s="7" t="s">
        <v>29</v>
      </c>
      <c r="I74" s="7" t="s">
        <v>30</v>
      </c>
      <c r="J74" s="14">
        <v>650</v>
      </c>
      <c r="K74" s="18">
        <v>650</v>
      </c>
      <c r="L74" s="20">
        <f t="shared" si="1"/>
        <v>0</v>
      </c>
    </row>
    <row r="75" spans="2:12" ht="12.75" customHeight="1">
      <c r="B75" s="7" t="s">
        <v>75</v>
      </c>
      <c r="C75" s="7" t="s">
        <v>24</v>
      </c>
      <c r="D75" s="7" t="s">
        <v>83</v>
      </c>
      <c r="E75" s="8" t="s">
        <v>26</v>
      </c>
      <c r="F75" s="8" t="s">
        <v>27</v>
      </c>
      <c r="G75" s="7" t="s">
        <v>81</v>
      </c>
      <c r="H75" s="7" t="s">
        <v>33</v>
      </c>
      <c r="I75" s="7" t="s">
        <v>34</v>
      </c>
      <c r="J75" s="14">
        <v>551</v>
      </c>
      <c r="K75" s="18">
        <v>551</v>
      </c>
      <c r="L75" s="20">
        <f t="shared" si="1"/>
        <v>0</v>
      </c>
    </row>
    <row r="76" spans="2:12" ht="12.75" customHeight="1">
      <c r="B76" s="7" t="s">
        <v>75</v>
      </c>
      <c r="C76" s="7" t="s">
        <v>24</v>
      </c>
      <c r="D76" s="7" t="s">
        <v>84</v>
      </c>
      <c r="E76" s="8" t="s">
        <v>26</v>
      </c>
      <c r="F76" s="8" t="s">
        <v>27</v>
      </c>
      <c r="G76" s="7" t="s">
        <v>81</v>
      </c>
      <c r="H76" s="7" t="s">
        <v>36</v>
      </c>
      <c r="I76" s="7" t="s">
        <v>37</v>
      </c>
      <c r="J76" s="14">
        <v>1469</v>
      </c>
      <c r="K76" s="18">
        <v>1469</v>
      </c>
      <c r="L76" s="20">
        <f t="shared" si="1"/>
        <v>0</v>
      </c>
    </row>
    <row r="77" spans="2:12" ht="12.75" customHeight="1">
      <c r="B77" s="7" t="s">
        <v>75</v>
      </c>
      <c r="C77" s="7" t="s">
        <v>24</v>
      </c>
      <c r="D77" s="7" t="s">
        <v>85</v>
      </c>
      <c r="E77" s="8" t="s">
        <v>26</v>
      </c>
      <c r="F77" s="8" t="s">
        <v>27</v>
      </c>
      <c r="G77" s="7" t="s">
        <v>81</v>
      </c>
      <c r="H77" s="7" t="s">
        <v>39</v>
      </c>
      <c r="I77" s="7" t="s">
        <v>40</v>
      </c>
      <c r="J77" s="14">
        <v>624</v>
      </c>
      <c r="K77" s="18">
        <v>624</v>
      </c>
      <c r="L77" s="20">
        <f t="shared" si="1"/>
        <v>0</v>
      </c>
    </row>
    <row r="78" spans="2:12" ht="12.75" customHeight="1">
      <c r="B78" s="7"/>
      <c r="C78" s="7"/>
      <c r="D78" s="7"/>
      <c r="E78" s="8"/>
      <c r="F78" s="8"/>
      <c r="G78" s="7"/>
      <c r="H78" s="7"/>
      <c r="I78" s="7"/>
      <c r="J78" s="14"/>
      <c r="K78" s="18"/>
      <c r="L78" s="20"/>
    </row>
    <row r="79" spans="2:12" ht="12.75" customHeight="1">
      <c r="B79" s="7" t="s">
        <v>96</v>
      </c>
      <c r="C79" s="7" t="s">
        <v>24</v>
      </c>
      <c r="D79" s="7" t="s">
        <v>104</v>
      </c>
      <c r="E79" s="8" t="s">
        <v>26</v>
      </c>
      <c r="F79" s="8" t="s">
        <v>27</v>
      </c>
      <c r="G79" s="7" t="s">
        <v>105</v>
      </c>
      <c r="H79" s="7" t="s">
        <v>42</v>
      </c>
      <c r="I79" s="7" t="s">
        <v>43</v>
      </c>
      <c r="J79" s="14">
        <v>135</v>
      </c>
      <c r="K79" s="18">
        <v>135</v>
      </c>
      <c r="L79" s="20">
        <f t="shared" si="1"/>
        <v>0</v>
      </c>
    </row>
    <row r="80" spans="2:12" ht="12.75" customHeight="1">
      <c r="B80" s="7" t="s">
        <v>96</v>
      </c>
      <c r="C80" s="7" t="s">
        <v>24</v>
      </c>
      <c r="D80" s="7" t="s">
        <v>102</v>
      </c>
      <c r="E80" s="8" t="s">
        <v>26</v>
      </c>
      <c r="F80" s="8" t="s">
        <v>27</v>
      </c>
      <c r="G80" s="7" t="s">
        <v>103</v>
      </c>
      <c r="H80" s="7" t="s">
        <v>42</v>
      </c>
      <c r="I80" s="7" t="s">
        <v>43</v>
      </c>
      <c r="J80" s="14">
        <v>6935</v>
      </c>
      <c r="K80" s="18">
        <v>6935</v>
      </c>
      <c r="L80" s="20">
        <f t="shared" si="1"/>
        <v>0</v>
      </c>
    </row>
    <row r="81" spans="2:12" ht="12.75" customHeight="1">
      <c r="B81" s="7" t="s">
        <v>96</v>
      </c>
      <c r="C81" s="7" t="s">
        <v>48</v>
      </c>
      <c r="D81" s="7" t="s">
        <v>106</v>
      </c>
      <c r="E81" s="8" t="s">
        <v>50</v>
      </c>
      <c r="F81" s="8" t="s">
        <v>47</v>
      </c>
      <c r="G81" s="7" t="s">
        <v>103</v>
      </c>
      <c r="H81" s="7" t="s">
        <v>47</v>
      </c>
      <c r="I81" s="7" t="s">
        <v>47</v>
      </c>
      <c r="J81" s="14">
        <v>0</v>
      </c>
      <c r="K81" s="18"/>
      <c r="L81" s="20">
        <f t="shared" si="1"/>
        <v>0</v>
      </c>
    </row>
    <row r="82" spans="2:12" ht="12.75" customHeight="1">
      <c r="B82" s="7" t="s">
        <v>96</v>
      </c>
      <c r="C82" s="7" t="s">
        <v>44</v>
      </c>
      <c r="D82" s="7" t="s">
        <v>107</v>
      </c>
      <c r="E82" s="8" t="s">
        <v>46</v>
      </c>
      <c r="F82" s="8" t="s">
        <v>47</v>
      </c>
      <c r="G82" s="7" t="s">
        <v>103</v>
      </c>
      <c r="H82" s="7" t="s">
        <v>47</v>
      </c>
      <c r="I82" s="7" t="s">
        <v>47</v>
      </c>
      <c r="J82" s="14">
        <v>0</v>
      </c>
      <c r="K82" s="18"/>
      <c r="L82" s="20">
        <f t="shared" si="1"/>
        <v>0</v>
      </c>
    </row>
    <row r="83" spans="2:12" ht="12.75" customHeight="1">
      <c r="B83" s="7" t="s">
        <v>96</v>
      </c>
      <c r="C83" s="7" t="s">
        <v>24</v>
      </c>
      <c r="D83" s="7" t="s">
        <v>97</v>
      </c>
      <c r="E83" s="8" t="s">
        <v>26</v>
      </c>
      <c r="F83" s="8" t="s">
        <v>27</v>
      </c>
      <c r="G83" s="7" t="s">
        <v>98</v>
      </c>
      <c r="H83" s="7" t="s">
        <v>36</v>
      </c>
      <c r="I83" s="7" t="s">
        <v>37</v>
      </c>
      <c r="J83" s="14">
        <v>1469</v>
      </c>
      <c r="K83" s="18">
        <v>1469</v>
      </c>
      <c r="L83" s="20">
        <f t="shared" si="1"/>
        <v>0</v>
      </c>
    </row>
    <row r="84" spans="2:12" ht="12.75" customHeight="1">
      <c r="B84" s="7" t="s">
        <v>96</v>
      </c>
      <c r="C84" s="7" t="s">
        <v>24</v>
      </c>
      <c r="D84" s="7" t="s">
        <v>99</v>
      </c>
      <c r="E84" s="8" t="s">
        <v>26</v>
      </c>
      <c r="F84" s="8" t="s">
        <v>27</v>
      </c>
      <c r="G84" s="7" t="s">
        <v>98</v>
      </c>
      <c r="H84" s="7" t="s">
        <v>39</v>
      </c>
      <c r="I84" s="7" t="s">
        <v>40</v>
      </c>
      <c r="J84" s="14">
        <v>624</v>
      </c>
      <c r="K84" s="18">
        <v>624</v>
      </c>
      <c r="L84" s="20">
        <f t="shared" si="1"/>
        <v>0</v>
      </c>
    </row>
    <row r="85" spans="2:12" ht="12.75" customHeight="1">
      <c r="B85" s="7" t="s">
        <v>96</v>
      </c>
      <c r="C85" s="7" t="s">
        <v>24</v>
      </c>
      <c r="D85" s="7" t="s">
        <v>100</v>
      </c>
      <c r="E85" s="8" t="s">
        <v>26</v>
      </c>
      <c r="F85" s="8" t="s">
        <v>27</v>
      </c>
      <c r="G85" s="7" t="s">
        <v>98</v>
      </c>
      <c r="H85" s="7" t="s">
        <v>42</v>
      </c>
      <c r="I85" s="7" t="s">
        <v>43</v>
      </c>
      <c r="J85" s="14">
        <v>356</v>
      </c>
      <c r="K85" s="18">
        <v>356</v>
      </c>
      <c r="L85" s="20">
        <f t="shared" si="1"/>
        <v>0</v>
      </c>
    </row>
    <row r="86" spans="2:12" ht="12.75" customHeight="1">
      <c r="B86" s="7" t="s">
        <v>96</v>
      </c>
      <c r="C86" s="7" t="s">
        <v>24</v>
      </c>
      <c r="D86" s="7" t="s">
        <v>101</v>
      </c>
      <c r="E86" s="8" t="s">
        <v>26</v>
      </c>
      <c r="F86" s="8" t="s">
        <v>27</v>
      </c>
      <c r="G86" s="7" t="s">
        <v>98</v>
      </c>
      <c r="H86" s="7" t="s">
        <v>33</v>
      </c>
      <c r="I86" s="7" t="s">
        <v>34</v>
      </c>
      <c r="J86" s="14">
        <v>551</v>
      </c>
      <c r="K86" s="18">
        <v>551</v>
      </c>
      <c r="L86" s="20">
        <f t="shared" si="1"/>
        <v>0</v>
      </c>
    </row>
    <row r="87" spans="2:12" ht="12.75" customHeight="1">
      <c r="B87" s="7" t="s">
        <v>75</v>
      </c>
      <c r="C87" s="7" t="s">
        <v>24</v>
      </c>
      <c r="D87" s="7" t="s">
        <v>76</v>
      </c>
      <c r="E87" s="8" t="s">
        <v>26</v>
      </c>
      <c r="F87" s="8" t="s">
        <v>27</v>
      </c>
      <c r="G87" s="7" t="s">
        <v>77</v>
      </c>
      <c r="H87" s="7" t="s">
        <v>78</v>
      </c>
      <c r="I87" s="7" t="s">
        <v>79</v>
      </c>
      <c r="J87" s="14">
        <v>26</v>
      </c>
      <c r="K87" s="18">
        <v>26</v>
      </c>
      <c r="L87" s="20">
        <f t="shared" si="1"/>
        <v>0</v>
      </c>
    </row>
    <row r="88" spans="2:12" ht="12.75" customHeight="1">
      <c r="K88" s="18"/>
      <c r="L88" s="20"/>
    </row>
    <row r="89" spans="2:12" ht="12.75" customHeight="1">
      <c r="B89" s="7" t="s">
        <v>20</v>
      </c>
      <c r="C89" s="7" t="s">
        <v>48</v>
      </c>
      <c r="D89" s="7" t="s">
        <v>115</v>
      </c>
      <c r="E89" s="8" t="s">
        <v>50</v>
      </c>
      <c r="F89" s="8" t="s">
        <v>47</v>
      </c>
      <c r="G89" s="7" t="s">
        <v>116</v>
      </c>
      <c r="H89" s="7" t="s">
        <v>47</v>
      </c>
      <c r="I89" s="7" t="s">
        <v>47</v>
      </c>
      <c r="J89" s="14">
        <v>0</v>
      </c>
      <c r="K89" s="18"/>
      <c r="L89" s="20">
        <f t="shared" si="1"/>
        <v>0</v>
      </c>
    </row>
    <row r="90" spans="2:12" ht="12.75" customHeight="1">
      <c r="B90" s="7" t="s">
        <v>20</v>
      </c>
      <c r="C90" s="7" t="s">
        <v>44</v>
      </c>
      <c r="D90" s="7" t="s">
        <v>117</v>
      </c>
      <c r="E90" s="8" t="s">
        <v>46</v>
      </c>
      <c r="F90" s="8" t="s">
        <v>47</v>
      </c>
      <c r="G90" s="7" t="s">
        <v>116</v>
      </c>
      <c r="H90" s="7" t="s">
        <v>47</v>
      </c>
      <c r="I90" s="7" t="s">
        <v>47</v>
      </c>
      <c r="J90" s="14">
        <v>0</v>
      </c>
      <c r="K90" s="18"/>
      <c r="L90" s="20">
        <f t="shared" si="1"/>
        <v>0</v>
      </c>
    </row>
    <row r="91" spans="2:12" ht="12.75" customHeight="1">
      <c r="B91" s="7" t="s">
        <v>20</v>
      </c>
      <c r="C91" s="7" t="s">
        <v>24</v>
      </c>
      <c r="D91" s="7" t="s">
        <v>110</v>
      </c>
      <c r="E91" s="8" t="s">
        <v>26</v>
      </c>
      <c r="F91" s="8" t="s">
        <v>27</v>
      </c>
      <c r="G91" s="7" t="s">
        <v>111</v>
      </c>
      <c r="H91" s="7" t="s">
        <v>42</v>
      </c>
      <c r="I91" s="7" t="s">
        <v>43</v>
      </c>
      <c r="J91" s="14">
        <v>151</v>
      </c>
      <c r="K91" s="18">
        <v>151</v>
      </c>
      <c r="L91" s="20">
        <f t="shared" si="1"/>
        <v>0</v>
      </c>
    </row>
    <row r="92" spans="2:12" ht="12.75" customHeight="1">
      <c r="B92" s="7" t="s">
        <v>20</v>
      </c>
      <c r="C92" s="7" t="s">
        <v>24</v>
      </c>
      <c r="D92" s="7" t="s">
        <v>112</v>
      </c>
      <c r="E92" s="8" t="s">
        <v>26</v>
      </c>
      <c r="F92" s="8" t="s">
        <v>27</v>
      </c>
      <c r="G92" s="7" t="s">
        <v>111</v>
      </c>
      <c r="H92" s="7" t="s">
        <v>36</v>
      </c>
      <c r="I92" s="7" t="s">
        <v>37</v>
      </c>
      <c r="J92" s="14">
        <v>1469</v>
      </c>
      <c r="K92" s="18">
        <v>1469</v>
      </c>
      <c r="L92" s="20">
        <f t="shared" ref="L92:L105" si="2">+J92-K92</f>
        <v>0</v>
      </c>
    </row>
    <row r="93" spans="2:12" ht="12.75" customHeight="1">
      <c r="B93" s="7" t="s">
        <v>20</v>
      </c>
      <c r="C93" s="7" t="s">
        <v>24</v>
      </c>
      <c r="D93" s="7" t="s">
        <v>113</v>
      </c>
      <c r="E93" s="8" t="s">
        <v>26</v>
      </c>
      <c r="F93" s="8" t="s">
        <v>27</v>
      </c>
      <c r="G93" s="7" t="s">
        <v>111</v>
      </c>
      <c r="H93" s="7" t="s">
        <v>33</v>
      </c>
      <c r="I93" s="7" t="s">
        <v>34</v>
      </c>
      <c r="J93" s="14">
        <v>551</v>
      </c>
      <c r="K93" s="18">
        <v>551</v>
      </c>
      <c r="L93" s="20">
        <f t="shared" si="2"/>
        <v>0</v>
      </c>
    </row>
    <row r="94" spans="2:12" ht="12.75" customHeight="1">
      <c r="B94" s="7" t="s">
        <v>20</v>
      </c>
      <c r="C94" s="7" t="s">
        <v>24</v>
      </c>
      <c r="D94" s="7" t="s">
        <v>114</v>
      </c>
      <c r="E94" s="8" t="s">
        <v>26</v>
      </c>
      <c r="F94" s="8" t="s">
        <v>27</v>
      </c>
      <c r="G94" s="7" t="s">
        <v>111</v>
      </c>
      <c r="H94" s="7" t="s">
        <v>39</v>
      </c>
      <c r="I94" s="7" t="s">
        <v>40</v>
      </c>
      <c r="J94" s="14">
        <v>624</v>
      </c>
      <c r="K94" s="18">
        <v>624</v>
      </c>
      <c r="L94" s="20">
        <f t="shared" si="2"/>
        <v>0</v>
      </c>
    </row>
    <row r="95" spans="2:12" ht="12.75" customHeight="1">
      <c r="B95" s="7" t="s">
        <v>138</v>
      </c>
      <c r="C95" s="7" t="s">
        <v>24</v>
      </c>
      <c r="D95" s="7" t="s">
        <v>145</v>
      </c>
      <c r="E95" s="8" t="s">
        <v>26</v>
      </c>
      <c r="F95" s="8" t="s">
        <v>27</v>
      </c>
      <c r="G95" s="7" t="s">
        <v>146</v>
      </c>
      <c r="H95" s="7" t="s">
        <v>42</v>
      </c>
      <c r="I95" s="7" t="s">
        <v>43</v>
      </c>
      <c r="J95" s="14">
        <v>981</v>
      </c>
      <c r="K95" s="18">
        <v>981</v>
      </c>
      <c r="L95" s="20">
        <f t="shared" si="2"/>
        <v>0</v>
      </c>
    </row>
    <row r="96" spans="2:12" ht="12.75" customHeight="1">
      <c r="B96" s="7" t="s">
        <v>138</v>
      </c>
      <c r="C96" s="7" t="s">
        <v>24</v>
      </c>
      <c r="D96" s="7" t="s">
        <v>147</v>
      </c>
      <c r="E96" s="8" t="s">
        <v>26</v>
      </c>
      <c r="F96" s="8" t="s">
        <v>27</v>
      </c>
      <c r="G96" s="7" t="s">
        <v>146</v>
      </c>
      <c r="H96" s="7" t="s">
        <v>36</v>
      </c>
      <c r="I96" s="7" t="s">
        <v>37</v>
      </c>
      <c r="J96" s="14">
        <v>1481</v>
      </c>
      <c r="K96" s="18">
        <v>1481</v>
      </c>
      <c r="L96" s="20">
        <f t="shared" si="2"/>
        <v>0</v>
      </c>
    </row>
    <row r="97" spans="2:12" ht="12.75" customHeight="1">
      <c r="B97" s="11"/>
      <c r="C97" s="11"/>
      <c r="D97" s="11"/>
      <c r="E97" s="12"/>
      <c r="F97" s="12"/>
      <c r="G97" s="11"/>
      <c r="H97" s="11"/>
      <c r="I97" s="11"/>
      <c r="J97" s="13"/>
      <c r="K97" s="18"/>
      <c r="L97" s="20"/>
    </row>
    <row r="98" spans="2:12">
      <c r="B98" s="7" t="s">
        <v>20</v>
      </c>
      <c r="C98" s="7" t="s">
        <v>24</v>
      </c>
      <c r="D98" s="7" t="s">
        <v>108</v>
      </c>
      <c r="E98" s="8" t="s">
        <v>26</v>
      </c>
      <c r="F98" s="8" t="s">
        <v>27</v>
      </c>
      <c r="G98" s="7" t="s">
        <v>109</v>
      </c>
      <c r="H98" s="7" t="s">
        <v>78</v>
      </c>
      <c r="I98" s="7" t="s">
        <v>79</v>
      </c>
      <c r="J98" s="14">
        <v>26</v>
      </c>
      <c r="K98" s="18">
        <v>26</v>
      </c>
      <c r="L98" s="20">
        <f t="shared" si="2"/>
        <v>0</v>
      </c>
    </row>
    <row r="99" spans="2:12">
      <c r="B99" s="7" t="s">
        <v>138</v>
      </c>
      <c r="C99" s="7" t="s">
        <v>24</v>
      </c>
      <c r="D99" s="7" t="s">
        <v>139</v>
      </c>
      <c r="E99" s="8" t="s">
        <v>26</v>
      </c>
      <c r="F99" s="8" t="s">
        <v>27</v>
      </c>
      <c r="G99" s="7" t="s">
        <v>140</v>
      </c>
      <c r="H99" s="7" t="s">
        <v>39</v>
      </c>
      <c r="I99" s="7" t="s">
        <v>40</v>
      </c>
      <c r="J99" s="14">
        <v>624</v>
      </c>
      <c r="K99" s="18">
        <v>624</v>
      </c>
      <c r="L99" s="20">
        <f t="shared" si="2"/>
        <v>0</v>
      </c>
    </row>
    <row r="100" spans="2:12">
      <c r="B100" s="7" t="s">
        <v>138</v>
      </c>
      <c r="C100" s="7" t="s">
        <v>24</v>
      </c>
      <c r="D100" s="7" t="s">
        <v>141</v>
      </c>
      <c r="E100" s="8" t="s">
        <v>26</v>
      </c>
      <c r="F100" s="8" t="s">
        <v>27</v>
      </c>
      <c r="G100" s="7" t="s">
        <v>140</v>
      </c>
      <c r="H100" s="7" t="s">
        <v>142</v>
      </c>
      <c r="I100" s="7" t="s">
        <v>143</v>
      </c>
      <c r="J100" s="14">
        <v>82</v>
      </c>
      <c r="K100" s="18">
        <v>82</v>
      </c>
      <c r="L100" s="20">
        <f t="shared" si="2"/>
        <v>0</v>
      </c>
    </row>
    <row r="101" spans="2:12">
      <c r="B101" s="7" t="s">
        <v>138</v>
      </c>
      <c r="C101" s="7" t="s">
        <v>24</v>
      </c>
      <c r="D101" s="7" t="s">
        <v>144</v>
      </c>
      <c r="E101" s="8" t="s">
        <v>26</v>
      </c>
      <c r="F101" s="8" t="s">
        <v>27</v>
      </c>
      <c r="G101" s="7" t="s">
        <v>140</v>
      </c>
      <c r="H101" s="7" t="s">
        <v>33</v>
      </c>
      <c r="I101" s="7" t="s">
        <v>34</v>
      </c>
      <c r="J101" s="14">
        <v>81</v>
      </c>
      <c r="K101" s="18">
        <v>81</v>
      </c>
      <c r="L101" s="20">
        <f t="shared" si="2"/>
        <v>0</v>
      </c>
    </row>
    <row r="102" spans="2:12">
      <c r="B102" s="7" t="s">
        <v>150</v>
      </c>
      <c r="C102" s="7" t="s">
        <v>24</v>
      </c>
      <c r="D102" s="7" t="s">
        <v>151</v>
      </c>
      <c r="E102" s="8" t="s">
        <v>26</v>
      </c>
      <c r="F102" s="8" t="s">
        <v>27</v>
      </c>
      <c r="G102" s="7" t="s">
        <v>140</v>
      </c>
      <c r="H102" s="7" t="s">
        <v>29</v>
      </c>
      <c r="I102" s="7" t="s">
        <v>30</v>
      </c>
      <c r="J102" s="14">
        <v>469</v>
      </c>
      <c r="K102" s="18">
        <v>469</v>
      </c>
      <c r="L102" s="20">
        <f t="shared" si="2"/>
        <v>0</v>
      </c>
    </row>
    <row r="103" spans="2:12">
      <c r="B103" s="7" t="s">
        <v>150</v>
      </c>
      <c r="C103" s="7" t="s">
        <v>24</v>
      </c>
      <c r="D103" s="7" t="s">
        <v>152</v>
      </c>
      <c r="E103" s="8" t="s">
        <v>26</v>
      </c>
      <c r="F103" s="8" t="s">
        <v>27</v>
      </c>
      <c r="G103" s="7" t="s">
        <v>140</v>
      </c>
      <c r="H103" s="7" t="s">
        <v>36</v>
      </c>
      <c r="I103" s="7" t="s">
        <v>37</v>
      </c>
      <c r="J103" s="14">
        <v>1490</v>
      </c>
      <c r="K103" s="18">
        <v>1490</v>
      </c>
      <c r="L103" s="20">
        <f t="shared" si="2"/>
        <v>0</v>
      </c>
    </row>
    <row r="104" spans="2:12">
      <c r="B104" s="7" t="s">
        <v>138</v>
      </c>
      <c r="C104" s="7" t="s">
        <v>48</v>
      </c>
      <c r="D104" s="7" t="s">
        <v>148</v>
      </c>
      <c r="E104" s="8" t="s">
        <v>50</v>
      </c>
      <c r="F104" s="8" t="s">
        <v>47</v>
      </c>
      <c r="G104" s="7" t="s">
        <v>140</v>
      </c>
      <c r="H104" s="7" t="s">
        <v>47</v>
      </c>
      <c r="I104" s="7" t="s">
        <v>47</v>
      </c>
      <c r="J104" s="14">
        <v>0</v>
      </c>
      <c r="K104" s="18"/>
      <c r="L104" s="20">
        <f t="shared" si="2"/>
        <v>0</v>
      </c>
    </row>
    <row r="105" spans="2:12">
      <c r="B105" s="7" t="s">
        <v>138</v>
      </c>
      <c r="C105" s="7" t="s">
        <v>44</v>
      </c>
      <c r="D105" s="7" t="s">
        <v>149</v>
      </c>
      <c r="E105" s="8" t="s">
        <v>46</v>
      </c>
      <c r="F105" s="8" t="s">
        <v>47</v>
      </c>
      <c r="G105" s="7" t="s">
        <v>140</v>
      </c>
      <c r="H105" s="7" t="s">
        <v>47</v>
      </c>
      <c r="I105" s="7" t="s">
        <v>47</v>
      </c>
      <c r="J105" s="14">
        <v>0</v>
      </c>
      <c r="K105" s="18"/>
      <c r="L105" s="20">
        <f t="shared" si="2"/>
        <v>0</v>
      </c>
    </row>
    <row r="111" spans="2:12">
      <c r="B111"/>
      <c r="C111" t="s">
        <v>240</v>
      </c>
      <c r="D111"/>
      <c r="E111"/>
      <c r="F111"/>
      <c r="G111"/>
      <c r="H111" s="98"/>
      <c r="I111" s="98"/>
      <c r="J111" s="99"/>
      <c r="K111" s="99"/>
      <c r="L111" s="99"/>
    </row>
    <row r="112" spans="2:12">
      <c r="B112"/>
      <c r="C112">
        <v>9600046416</v>
      </c>
      <c r="D112" s="92">
        <v>180000</v>
      </c>
      <c r="E112"/>
      <c r="F112"/>
      <c r="G112" s="100">
        <v>40438</v>
      </c>
      <c r="H112" s="98"/>
      <c r="I112" s="98"/>
      <c r="J112" s="99"/>
      <c r="K112" s="99"/>
      <c r="L112" s="99"/>
    </row>
    <row r="113" spans="2:12">
      <c r="B113"/>
      <c r="C113" s="47">
        <v>40925</v>
      </c>
      <c r="D113" s="49">
        <v>2676.24</v>
      </c>
      <c r="E113" s="49">
        <v>1184.22</v>
      </c>
      <c r="F113" s="49">
        <v>1.5</v>
      </c>
      <c r="G113" s="49">
        <f>SUM(D113:F113)</f>
        <v>3861.96</v>
      </c>
      <c r="H113" s="101">
        <v>2.694</v>
      </c>
      <c r="I113" s="102">
        <f>+D113*H113</f>
        <v>7209.7905599999995</v>
      </c>
      <c r="J113" s="103">
        <f>+E113*H113</f>
        <v>3190.2886800000001</v>
      </c>
      <c r="K113" s="103">
        <f>+F113*H113</f>
        <v>4.0410000000000004</v>
      </c>
      <c r="L113" s="104"/>
    </row>
    <row r="114" spans="2:12">
      <c r="B114"/>
      <c r="C114" s="47">
        <v>40956</v>
      </c>
      <c r="D114" s="49">
        <v>2617.84</v>
      </c>
      <c r="E114" s="49">
        <v>1242.6199999999999</v>
      </c>
      <c r="F114" s="49">
        <v>1.5</v>
      </c>
      <c r="G114" s="49">
        <f t="shared" ref="G114:G146" si="3">SUM(D114:F114)</f>
        <v>3861.96</v>
      </c>
      <c r="H114" s="101">
        <v>2.694</v>
      </c>
      <c r="I114" s="102">
        <f t="shared" ref="I114:I146" si="4">+D114*H114</f>
        <v>7052.4609600000003</v>
      </c>
      <c r="J114" s="103">
        <f t="shared" ref="J114:J146" si="5">+E114*H114</f>
        <v>3347.6182799999997</v>
      </c>
      <c r="K114" s="103">
        <f t="shared" ref="K114:K146" si="6">+F114*H114</f>
        <v>4.0410000000000004</v>
      </c>
      <c r="L114" s="104"/>
    </row>
    <row r="115" spans="2:12">
      <c r="B115"/>
      <c r="C115" s="47">
        <v>40987</v>
      </c>
      <c r="D115" s="49">
        <v>2640.96</v>
      </c>
      <c r="E115" s="49">
        <v>1219.5</v>
      </c>
      <c r="F115" s="49">
        <v>1.5</v>
      </c>
      <c r="G115" s="49">
        <f t="shared" si="3"/>
        <v>3861.96</v>
      </c>
      <c r="H115" s="101">
        <v>2.694</v>
      </c>
      <c r="I115" s="102">
        <f t="shared" si="4"/>
        <v>7114.7462400000004</v>
      </c>
      <c r="J115" s="103">
        <f t="shared" si="5"/>
        <v>3285.3330000000001</v>
      </c>
      <c r="K115" s="103">
        <f t="shared" si="6"/>
        <v>4.0410000000000004</v>
      </c>
      <c r="L115" s="104"/>
    </row>
    <row r="116" spans="2:12">
      <c r="B116"/>
      <c r="C116" s="47">
        <v>41016</v>
      </c>
      <c r="D116" s="49">
        <v>2741.77</v>
      </c>
      <c r="E116" s="49">
        <v>1118.69</v>
      </c>
      <c r="F116" s="49">
        <v>1.5</v>
      </c>
      <c r="G116" s="49">
        <f t="shared" si="3"/>
        <v>3861.96</v>
      </c>
      <c r="H116" s="101">
        <v>2.694</v>
      </c>
      <c r="I116" s="102">
        <f t="shared" si="4"/>
        <v>7386.3283799999999</v>
      </c>
      <c r="J116" s="103">
        <f t="shared" si="5"/>
        <v>3013.7508600000001</v>
      </c>
      <c r="K116" s="103">
        <f t="shared" si="6"/>
        <v>4.0410000000000004</v>
      </c>
      <c r="L116" s="104"/>
    </row>
    <row r="117" spans="2:12">
      <c r="B117"/>
      <c r="C117" s="47">
        <v>41046</v>
      </c>
      <c r="D117" s="49">
        <v>261.33</v>
      </c>
      <c r="E117" s="49"/>
      <c r="F117" s="49">
        <v>1.5</v>
      </c>
      <c r="G117" s="49">
        <f t="shared" si="3"/>
        <v>262.83</v>
      </c>
      <c r="H117" s="101">
        <v>2.694</v>
      </c>
      <c r="I117" s="102">
        <f t="shared" si="4"/>
        <v>704.02301999999997</v>
      </c>
      <c r="J117" s="103">
        <f t="shared" si="5"/>
        <v>0</v>
      </c>
      <c r="K117" s="103">
        <f t="shared" si="6"/>
        <v>4.0410000000000004</v>
      </c>
      <c r="L117" s="104"/>
    </row>
    <row r="118" spans="2:12">
      <c r="B118"/>
      <c r="C118" s="47">
        <v>41050</v>
      </c>
      <c r="D118" s="49">
        <v>2726.46</v>
      </c>
      <c r="E118" s="49">
        <f>872.67+4.08+3.81</f>
        <v>880.56</v>
      </c>
      <c r="F118" s="49">
        <v>50</v>
      </c>
      <c r="G118" s="49">
        <f t="shared" si="3"/>
        <v>3657.02</v>
      </c>
      <c r="H118" s="101">
        <v>2.694</v>
      </c>
      <c r="I118" s="102">
        <f t="shared" si="4"/>
        <v>7345.0832399999999</v>
      </c>
      <c r="J118" s="103">
        <f t="shared" si="5"/>
        <v>2372.2286399999998</v>
      </c>
      <c r="K118" s="103">
        <f t="shared" si="6"/>
        <v>134.69999999999999</v>
      </c>
      <c r="L118" s="104"/>
    </row>
    <row r="119" spans="2:12">
      <c r="B119"/>
      <c r="C119" s="47">
        <v>41078</v>
      </c>
      <c r="D119" s="49">
        <v>598.34</v>
      </c>
      <c r="E119" s="49"/>
      <c r="F119" s="49">
        <v>1.5</v>
      </c>
      <c r="G119" s="49">
        <f t="shared" si="3"/>
        <v>599.84</v>
      </c>
      <c r="H119" s="101">
        <v>2.694</v>
      </c>
      <c r="I119" s="102">
        <f t="shared" si="4"/>
        <v>1611.92796</v>
      </c>
      <c r="J119" s="103">
        <f t="shared" si="5"/>
        <v>0</v>
      </c>
      <c r="K119" s="103">
        <f t="shared" si="6"/>
        <v>4.0410000000000004</v>
      </c>
      <c r="L119" s="104"/>
    </row>
    <row r="120" spans="2:12">
      <c r="B120"/>
      <c r="C120" s="47">
        <v>41079</v>
      </c>
      <c r="D120" s="49">
        <v>2675.37</v>
      </c>
      <c r="E120" s="49">
        <f>586.75+0.93+0.87</f>
        <v>588.54999999999995</v>
      </c>
      <c r="F120" s="49">
        <v>50</v>
      </c>
      <c r="G120" s="49">
        <f t="shared" si="3"/>
        <v>3313.92</v>
      </c>
      <c r="H120" s="101">
        <v>2.694</v>
      </c>
      <c r="I120" s="102">
        <f t="shared" si="4"/>
        <v>7207.4467799999993</v>
      </c>
      <c r="J120" s="103">
        <f t="shared" si="5"/>
        <v>1585.5536999999999</v>
      </c>
      <c r="K120" s="103">
        <f t="shared" si="6"/>
        <v>134.69999999999999</v>
      </c>
      <c r="L120" s="104"/>
    </row>
    <row r="121" spans="2:12">
      <c r="B121"/>
      <c r="C121" s="47">
        <v>41113</v>
      </c>
      <c r="D121" s="49">
        <v>2459.94</v>
      </c>
      <c r="E121" s="49">
        <f>4.19+3.91</f>
        <v>8.1000000000000014</v>
      </c>
      <c r="F121" s="49">
        <v>50</v>
      </c>
      <c r="G121" s="49">
        <f t="shared" si="3"/>
        <v>2518.04</v>
      </c>
      <c r="H121" s="101">
        <v>2.694</v>
      </c>
      <c r="I121" s="102">
        <f t="shared" si="4"/>
        <v>6627.0783600000004</v>
      </c>
      <c r="J121" s="103">
        <f t="shared" si="5"/>
        <v>21.821400000000004</v>
      </c>
      <c r="K121" s="103">
        <f t="shared" si="6"/>
        <v>134.69999999999999</v>
      </c>
      <c r="L121" s="104"/>
    </row>
    <row r="122" spans="2:12">
      <c r="B122"/>
      <c r="C122" s="47">
        <v>41138</v>
      </c>
      <c r="D122" s="49">
        <v>25.42</v>
      </c>
      <c r="E122" s="49"/>
      <c r="F122" s="49">
        <v>1.5</v>
      </c>
      <c r="G122" s="49">
        <f t="shared" si="3"/>
        <v>26.92</v>
      </c>
      <c r="H122" s="101">
        <v>2.694</v>
      </c>
      <c r="I122" s="102">
        <f t="shared" si="4"/>
        <v>68.481480000000005</v>
      </c>
      <c r="J122" s="103">
        <f t="shared" si="5"/>
        <v>0</v>
      </c>
      <c r="K122" s="103">
        <f t="shared" si="6"/>
        <v>4.0410000000000004</v>
      </c>
      <c r="L122" s="104"/>
    </row>
    <row r="123" spans="2:12">
      <c r="B123"/>
      <c r="C123" s="47">
        <v>41141</v>
      </c>
      <c r="D123" s="49">
        <v>2761</v>
      </c>
      <c r="E123" s="49">
        <f>1074.04+3.26+3.04</f>
        <v>1080.3399999999999</v>
      </c>
      <c r="F123" s="49">
        <v>50</v>
      </c>
      <c r="G123" s="49">
        <f t="shared" si="3"/>
        <v>3891.34</v>
      </c>
      <c r="H123" s="101">
        <v>2.694</v>
      </c>
      <c r="I123" s="102">
        <f t="shared" si="4"/>
        <v>7438.134</v>
      </c>
      <c r="J123" s="103">
        <f t="shared" si="5"/>
        <v>2910.4359599999998</v>
      </c>
      <c r="K123" s="103">
        <f t="shared" si="6"/>
        <v>134.69999999999999</v>
      </c>
      <c r="L123" s="104"/>
    </row>
    <row r="124" spans="2:12">
      <c r="B124"/>
      <c r="C124" s="47">
        <v>41169</v>
      </c>
      <c r="D124" s="49"/>
      <c r="E124" s="49">
        <v>5.41</v>
      </c>
      <c r="F124" s="49">
        <v>1.5</v>
      </c>
      <c r="G124" s="49">
        <f t="shared" si="3"/>
        <v>6.91</v>
      </c>
      <c r="H124" s="101">
        <v>2.694</v>
      </c>
      <c r="I124" s="102">
        <f t="shared" si="4"/>
        <v>0</v>
      </c>
      <c r="J124" s="103">
        <f t="shared" si="5"/>
        <v>14.574540000000001</v>
      </c>
      <c r="K124" s="103">
        <f t="shared" si="6"/>
        <v>4.0410000000000004</v>
      </c>
      <c r="L124" s="104"/>
    </row>
    <row r="125" spans="2:12">
      <c r="B125"/>
      <c r="C125" s="47">
        <v>41171</v>
      </c>
      <c r="D125" s="49">
        <v>2785.39</v>
      </c>
      <c r="E125" s="49">
        <f>1069.66+2.19+2.05</f>
        <v>1073.9000000000001</v>
      </c>
      <c r="F125" s="49">
        <v>50</v>
      </c>
      <c r="G125" s="49">
        <f t="shared" si="3"/>
        <v>3909.29</v>
      </c>
      <c r="H125" s="101">
        <v>2.694</v>
      </c>
      <c r="I125" s="102">
        <f t="shared" si="4"/>
        <v>7503.8406599999998</v>
      </c>
      <c r="J125" s="103">
        <f t="shared" si="5"/>
        <v>2893.0866000000001</v>
      </c>
      <c r="K125" s="103">
        <f t="shared" si="6"/>
        <v>134.69999999999999</v>
      </c>
      <c r="L125" s="104"/>
    </row>
    <row r="126" spans="2:12">
      <c r="B126"/>
      <c r="C126" s="47">
        <v>41199</v>
      </c>
      <c r="D126" s="49">
        <v>2844.02</v>
      </c>
      <c r="E126" s="49">
        <v>1016.44</v>
      </c>
      <c r="F126" s="49">
        <v>1.5</v>
      </c>
      <c r="G126" s="49">
        <f t="shared" si="3"/>
        <v>3861.96</v>
      </c>
      <c r="H126" s="101">
        <v>2.694</v>
      </c>
      <c r="I126" s="102">
        <f t="shared" si="4"/>
        <v>7661.7898799999994</v>
      </c>
      <c r="J126" s="103">
        <f t="shared" si="5"/>
        <v>2738.2893600000002</v>
      </c>
      <c r="K126" s="103">
        <f t="shared" si="6"/>
        <v>4.0410000000000004</v>
      </c>
      <c r="L126" s="104"/>
    </row>
    <row r="127" spans="2:12">
      <c r="B127"/>
      <c r="C127" s="151">
        <v>41232</v>
      </c>
      <c r="D127" s="152">
        <v>49.42</v>
      </c>
      <c r="E127" s="152"/>
      <c r="F127" s="152"/>
      <c r="G127" s="152">
        <f t="shared" ref="G127:G134" si="7">SUM(D127:F127)</f>
        <v>49.42</v>
      </c>
      <c r="H127" s="153">
        <v>2.694</v>
      </c>
      <c r="I127" s="110">
        <f t="shared" si="4"/>
        <v>133.13748000000001</v>
      </c>
      <c r="J127" s="110">
        <f>+E127*H127</f>
        <v>0</v>
      </c>
      <c r="K127" s="110">
        <f t="shared" si="6"/>
        <v>0</v>
      </c>
      <c r="L127" s="104"/>
    </row>
    <row r="128" spans="2:12">
      <c r="B128"/>
      <c r="C128" s="151">
        <v>41233</v>
      </c>
      <c r="D128" s="152">
        <f>3864.64+D127-E128-101.52</f>
        <v>2796.1</v>
      </c>
      <c r="E128" s="152">
        <v>1016.44</v>
      </c>
      <c r="F128" s="152"/>
      <c r="G128" s="152">
        <f t="shared" si="7"/>
        <v>3812.54</v>
      </c>
      <c r="H128" s="153">
        <v>2.694</v>
      </c>
      <c r="I128" s="110">
        <f t="shared" si="4"/>
        <v>7532.6933999999992</v>
      </c>
      <c r="J128" s="110">
        <f>+E128*H128</f>
        <v>2738.2893600000002</v>
      </c>
      <c r="K128" s="110">
        <f t="shared" si="6"/>
        <v>0</v>
      </c>
      <c r="L128" s="104"/>
    </row>
    <row r="129" spans="2:12">
      <c r="B129"/>
      <c r="C129" s="151">
        <v>41260</v>
      </c>
      <c r="D129" s="152">
        <v>366.52</v>
      </c>
      <c r="E129" s="152"/>
      <c r="F129" s="152"/>
      <c r="G129" s="152">
        <f t="shared" si="7"/>
        <v>366.52</v>
      </c>
      <c r="H129" s="153">
        <v>2.694</v>
      </c>
      <c r="I129" s="110">
        <f t="shared" si="4"/>
        <v>987.40487999999993</v>
      </c>
      <c r="J129" s="110">
        <f>+E129*H129</f>
        <v>0</v>
      </c>
      <c r="K129" s="110">
        <f t="shared" si="6"/>
        <v>0</v>
      </c>
      <c r="L129" s="104"/>
    </row>
    <row r="130" spans="2:12">
      <c r="B130"/>
      <c r="C130" s="151">
        <v>41261</v>
      </c>
      <c r="D130" s="152">
        <f>2844.02-366.52</f>
        <v>2477.5</v>
      </c>
      <c r="E130" s="152">
        <v>1016.44</v>
      </c>
      <c r="F130" s="152">
        <v>1.5</v>
      </c>
      <c r="G130" s="152">
        <f t="shared" si="7"/>
        <v>3495.44</v>
      </c>
      <c r="H130" s="153">
        <v>2.694</v>
      </c>
      <c r="I130" s="110">
        <f t="shared" si="4"/>
        <v>6674.3850000000002</v>
      </c>
      <c r="J130" s="110">
        <f>+E130*H130</f>
        <v>2738.2893600000002</v>
      </c>
      <c r="K130" s="110">
        <f t="shared" si="6"/>
        <v>4.0410000000000004</v>
      </c>
      <c r="L130" s="104"/>
    </row>
    <row r="131" spans="2:12">
      <c r="B131"/>
      <c r="C131" s="154">
        <v>41292</v>
      </c>
      <c r="D131" s="155">
        <v>2844.02</v>
      </c>
      <c r="E131" s="155">
        <v>1016.44</v>
      </c>
      <c r="F131" s="155">
        <v>1.5</v>
      </c>
      <c r="G131" s="155">
        <f t="shared" si="7"/>
        <v>3861.96</v>
      </c>
      <c r="H131" s="101">
        <v>2.694</v>
      </c>
      <c r="I131" s="102">
        <f t="shared" si="4"/>
        <v>7661.7898799999994</v>
      </c>
      <c r="J131" s="102">
        <f t="shared" si="5"/>
        <v>2738.2893600000002</v>
      </c>
      <c r="K131" s="102">
        <f t="shared" si="6"/>
        <v>4.0410000000000004</v>
      </c>
      <c r="L131" s="104"/>
    </row>
    <row r="132" spans="2:12">
      <c r="B132"/>
      <c r="C132" s="154">
        <v>41323</v>
      </c>
      <c r="D132" s="155">
        <v>1721.73</v>
      </c>
      <c r="E132" s="155"/>
      <c r="F132" s="155"/>
      <c r="G132" s="155">
        <f t="shared" si="7"/>
        <v>1721.73</v>
      </c>
      <c r="H132" s="101">
        <v>2.694</v>
      </c>
      <c r="I132" s="102">
        <f t="shared" si="4"/>
        <v>4638.3406199999999</v>
      </c>
      <c r="J132" s="102">
        <f t="shared" si="5"/>
        <v>0</v>
      </c>
      <c r="K132" s="102">
        <f t="shared" si="6"/>
        <v>0</v>
      </c>
      <c r="L132" s="104"/>
    </row>
    <row r="133" spans="2:12">
      <c r="B133"/>
      <c r="C133" s="154">
        <v>41324</v>
      </c>
      <c r="D133" s="155">
        <f>2844.02-D132</f>
        <v>1122.29</v>
      </c>
      <c r="E133" s="155">
        <v>1016.14</v>
      </c>
      <c r="F133" s="155">
        <v>1.5</v>
      </c>
      <c r="G133" s="155">
        <f t="shared" si="7"/>
        <v>2139.9299999999998</v>
      </c>
      <c r="H133" s="101">
        <v>2.694</v>
      </c>
      <c r="I133" s="102">
        <f t="shared" si="4"/>
        <v>3023.4492599999999</v>
      </c>
      <c r="J133" s="102">
        <f t="shared" si="5"/>
        <v>2737.4811599999998</v>
      </c>
      <c r="K133" s="102">
        <f t="shared" si="6"/>
        <v>4.0410000000000004</v>
      </c>
      <c r="L133" s="104"/>
    </row>
    <row r="134" spans="2:12">
      <c r="B134"/>
      <c r="C134" s="154">
        <v>41351</v>
      </c>
      <c r="D134" s="155"/>
      <c r="E134" s="155">
        <v>12.75</v>
      </c>
      <c r="F134" s="155">
        <v>1.5</v>
      </c>
      <c r="G134" s="155">
        <f t="shared" si="7"/>
        <v>14.25</v>
      </c>
      <c r="H134" s="101">
        <v>2.694</v>
      </c>
      <c r="I134" s="102">
        <f t="shared" si="4"/>
        <v>0</v>
      </c>
      <c r="J134" s="102">
        <f t="shared" si="5"/>
        <v>34.348500000000001</v>
      </c>
      <c r="K134" s="102">
        <f t="shared" si="6"/>
        <v>4.0410000000000004</v>
      </c>
      <c r="L134" s="104"/>
    </row>
    <row r="135" spans="2:12">
      <c r="B135"/>
      <c r="C135" s="154">
        <v>41353</v>
      </c>
      <c r="D135" s="155">
        <v>3026.35</v>
      </c>
      <c r="E135" s="155">
        <f>821.36+2.19+2.04</f>
        <v>825.59</v>
      </c>
      <c r="F135" s="155">
        <v>50</v>
      </c>
      <c r="G135" s="155">
        <f t="shared" si="3"/>
        <v>3901.94</v>
      </c>
      <c r="H135" s="101">
        <v>2.694</v>
      </c>
      <c r="I135" s="102">
        <f t="shared" si="4"/>
        <v>8152.9868999999999</v>
      </c>
      <c r="J135" s="102">
        <f t="shared" si="5"/>
        <v>2224.1394599999999</v>
      </c>
      <c r="K135" s="102">
        <f t="shared" si="6"/>
        <v>134.69999999999999</v>
      </c>
      <c r="L135" s="104"/>
    </row>
    <row r="136" spans="2:12">
      <c r="B136"/>
      <c r="C136" s="47">
        <v>41386</v>
      </c>
      <c r="D136" s="49">
        <v>2992.37</v>
      </c>
      <c r="E136" s="49">
        <f>759.8+5.33+4.97</f>
        <v>770.1</v>
      </c>
      <c r="F136" s="49">
        <v>50</v>
      </c>
      <c r="G136" s="49">
        <f t="shared" si="3"/>
        <v>3812.47</v>
      </c>
      <c r="H136" s="101">
        <v>2.694</v>
      </c>
      <c r="I136" s="102">
        <f t="shared" si="4"/>
        <v>8061.4447799999998</v>
      </c>
      <c r="J136" s="103">
        <f t="shared" si="5"/>
        <v>2074.6494000000002</v>
      </c>
      <c r="K136" s="103">
        <f t="shared" si="6"/>
        <v>134.69999999999999</v>
      </c>
      <c r="L136" s="104"/>
    </row>
    <row r="137" spans="2:12">
      <c r="B137"/>
      <c r="C137" s="47">
        <v>41411</v>
      </c>
      <c r="D137" s="49">
        <v>3017.94</v>
      </c>
      <c r="E137" s="49">
        <v>842.52</v>
      </c>
      <c r="F137" s="49">
        <v>1.5</v>
      </c>
      <c r="G137" s="49">
        <f t="shared" si="3"/>
        <v>3861.96</v>
      </c>
      <c r="H137" s="101">
        <v>2.694</v>
      </c>
      <c r="I137" s="102">
        <f t="shared" si="4"/>
        <v>8130.3303599999999</v>
      </c>
      <c r="J137" s="103">
        <f t="shared" si="5"/>
        <v>2269.7488800000001</v>
      </c>
      <c r="K137" s="103">
        <f t="shared" si="6"/>
        <v>4.0410000000000004</v>
      </c>
      <c r="L137" s="104"/>
    </row>
    <row r="138" spans="2:12">
      <c r="B138"/>
      <c r="C138" s="47">
        <v>41443</v>
      </c>
      <c r="D138" s="49"/>
      <c r="E138" s="49"/>
      <c r="F138" s="49">
        <v>21.25</v>
      </c>
      <c r="G138" s="49">
        <f t="shared" si="3"/>
        <v>21.25</v>
      </c>
      <c r="H138" s="101">
        <v>2.694</v>
      </c>
      <c r="I138" s="102">
        <f t="shared" si="4"/>
        <v>0</v>
      </c>
      <c r="J138" s="103">
        <f t="shared" si="5"/>
        <v>0</v>
      </c>
      <c r="K138" s="103">
        <f t="shared" si="6"/>
        <v>57.247500000000002</v>
      </c>
      <c r="L138" s="104"/>
    </row>
    <row r="139" spans="2:12">
      <c r="B139"/>
      <c r="C139" s="47">
        <v>41446</v>
      </c>
      <c r="D139" s="49">
        <v>3016.39</v>
      </c>
      <c r="E139" s="49">
        <f>844.07+4.39+4.09</f>
        <v>852.55000000000007</v>
      </c>
      <c r="F139" s="49">
        <f>1.5+28.75</f>
        <v>30.25</v>
      </c>
      <c r="G139" s="49">
        <f t="shared" si="3"/>
        <v>3899.19</v>
      </c>
      <c r="H139" s="101">
        <v>2.694</v>
      </c>
      <c r="I139" s="102">
        <f t="shared" si="4"/>
        <v>8126.1546599999992</v>
      </c>
      <c r="J139" s="103">
        <f t="shared" si="5"/>
        <v>2296.7697000000003</v>
      </c>
      <c r="K139" s="103">
        <f t="shared" si="6"/>
        <v>81.493499999999997</v>
      </c>
      <c r="L139" s="104"/>
    </row>
    <row r="140" spans="2:12">
      <c r="B140"/>
      <c r="C140" s="47"/>
      <c r="D140" s="49"/>
      <c r="E140" s="49"/>
      <c r="F140" s="49"/>
      <c r="G140" s="49">
        <f t="shared" si="3"/>
        <v>0</v>
      </c>
      <c r="H140" s="101">
        <v>2.694</v>
      </c>
      <c r="I140" s="102">
        <f t="shared" si="4"/>
        <v>0</v>
      </c>
      <c r="J140" s="103">
        <f t="shared" si="5"/>
        <v>0</v>
      </c>
      <c r="K140" s="103">
        <f t="shared" si="6"/>
        <v>0</v>
      </c>
      <c r="L140" s="104"/>
    </row>
    <row r="141" spans="2:12">
      <c r="B141"/>
      <c r="C141" s="47"/>
      <c r="D141" s="49"/>
      <c r="E141" s="49"/>
      <c r="F141" s="49"/>
      <c r="G141" s="49">
        <f t="shared" si="3"/>
        <v>0</v>
      </c>
      <c r="H141" s="101">
        <v>2.694</v>
      </c>
      <c r="I141" s="102">
        <f t="shared" si="4"/>
        <v>0</v>
      </c>
      <c r="J141" s="103">
        <f t="shared" si="5"/>
        <v>0</v>
      </c>
      <c r="K141" s="103">
        <f t="shared" si="6"/>
        <v>0</v>
      </c>
      <c r="L141" s="104"/>
    </row>
    <row r="142" spans="2:12">
      <c r="B142"/>
      <c r="C142" s="47"/>
      <c r="D142" s="49"/>
      <c r="E142" s="49"/>
      <c r="F142" s="49"/>
      <c r="G142" s="49">
        <f t="shared" si="3"/>
        <v>0</v>
      </c>
      <c r="H142" s="101">
        <v>2.694</v>
      </c>
      <c r="I142" s="102">
        <f t="shared" si="4"/>
        <v>0</v>
      </c>
      <c r="J142" s="103">
        <f t="shared" si="5"/>
        <v>0</v>
      </c>
      <c r="K142" s="103">
        <f t="shared" si="6"/>
        <v>0</v>
      </c>
      <c r="L142" s="104"/>
    </row>
    <row r="143" spans="2:12">
      <c r="B143"/>
      <c r="C143" s="47"/>
      <c r="D143" s="49"/>
      <c r="E143" s="49"/>
      <c r="F143" s="49"/>
      <c r="G143" s="49">
        <f t="shared" si="3"/>
        <v>0</v>
      </c>
      <c r="H143" s="101">
        <v>2.694</v>
      </c>
      <c r="I143" s="102">
        <f t="shared" si="4"/>
        <v>0</v>
      </c>
      <c r="J143" s="103">
        <f t="shared" si="5"/>
        <v>0</v>
      </c>
      <c r="K143" s="103">
        <f t="shared" si="6"/>
        <v>0</v>
      </c>
      <c r="L143" s="104"/>
    </row>
    <row r="144" spans="2:12">
      <c r="B144"/>
      <c r="C144" s="48"/>
      <c r="D144" s="49"/>
      <c r="E144" s="49"/>
      <c r="F144" s="49"/>
      <c r="G144" s="49">
        <f t="shared" si="3"/>
        <v>0</v>
      </c>
      <c r="H144" s="101">
        <v>2.694</v>
      </c>
      <c r="I144" s="102">
        <f t="shared" si="4"/>
        <v>0</v>
      </c>
      <c r="J144" s="103">
        <f t="shared" si="5"/>
        <v>0</v>
      </c>
      <c r="K144" s="103">
        <f t="shared" si="6"/>
        <v>0</v>
      </c>
      <c r="L144" s="104"/>
    </row>
    <row r="145" spans="2:12">
      <c r="B145"/>
      <c r="C145" s="48"/>
      <c r="D145" s="49"/>
      <c r="E145" s="49"/>
      <c r="F145" s="49"/>
      <c r="G145" s="49">
        <f t="shared" si="3"/>
        <v>0</v>
      </c>
      <c r="H145" s="101">
        <v>2.694</v>
      </c>
      <c r="I145" s="102">
        <f t="shared" si="4"/>
        <v>0</v>
      </c>
      <c r="J145" s="103">
        <f t="shared" si="5"/>
        <v>0</v>
      </c>
      <c r="K145" s="103">
        <f t="shared" si="6"/>
        <v>0</v>
      </c>
      <c r="L145" s="99"/>
    </row>
    <row r="146" spans="2:12">
      <c r="B146"/>
      <c r="C146" s="48"/>
      <c r="D146" s="49"/>
      <c r="E146" s="49"/>
      <c r="F146" s="49"/>
      <c r="G146" s="49">
        <f t="shared" si="3"/>
        <v>0</v>
      </c>
      <c r="H146" s="101">
        <v>2.694</v>
      </c>
      <c r="I146" s="102">
        <f t="shared" si="4"/>
        <v>0</v>
      </c>
      <c r="J146" s="103">
        <f t="shared" si="5"/>
        <v>0</v>
      </c>
      <c r="K146" s="103">
        <f t="shared" si="6"/>
        <v>0</v>
      </c>
      <c r="L146" s="99"/>
    </row>
    <row r="147" spans="2:12">
      <c r="B147"/>
      <c r="C147" s="98"/>
      <c r="D147" s="98"/>
      <c r="E147" s="98"/>
      <c r="F147" s="98"/>
      <c r="G147" s="98"/>
      <c r="H147" s="98"/>
      <c r="I147" s="98"/>
      <c r="J147" s="99"/>
      <c r="K147" s="99"/>
      <c r="L147" s="99"/>
    </row>
    <row r="148" spans="2:12">
      <c r="B148"/>
      <c r="C148" s="98" t="s">
        <v>240</v>
      </c>
      <c r="D148" s="98"/>
      <c r="E148" s="98"/>
      <c r="F148" s="98"/>
      <c r="G148" s="98"/>
      <c r="H148" s="98"/>
      <c r="I148" s="98"/>
      <c r="J148" s="99"/>
      <c r="K148" s="99"/>
      <c r="L148" s="99"/>
    </row>
    <row r="149" spans="2:12">
      <c r="B149"/>
      <c r="C149" s="98">
        <v>9600053811</v>
      </c>
      <c r="D149" s="105">
        <v>150000</v>
      </c>
      <c r="E149" s="98"/>
      <c r="F149" s="98"/>
      <c r="G149" s="106">
        <v>40661</v>
      </c>
      <c r="H149" s="98"/>
      <c r="I149" s="105">
        <f>+D149*H151</f>
        <v>425100</v>
      </c>
      <c r="J149" s="99"/>
      <c r="K149" s="99"/>
      <c r="L149" s="99"/>
    </row>
    <row r="150" spans="2:12">
      <c r="B150"/>
      <c r="C150" s="107"/>
      <c r="D150" s="102"/>
      <c r="E150" s="107"/>
      <c r="F150" s="107"/>
      <c r="G150" s="107"/>
      <c r="H150" s="98"/>
      <c r="I150" s="98"/>
      <c r="J150" s="99"/>
      <c r="K150" s="99"/>
      <c r="L150" s="99"/>
    </row>
    <row r="151" spans="2:12">
      <c r="B151">
        <v>1</v>
      </c>
      <c r="C151" s="108">
        <v>40693</v>
      </c>
      <c r="D151" s="102">
        <v>12070.73</v>
      </c>
      <c r="E151" s="102">
        <v>1166.3800000000001</v>
      </c>
      <c r="F151" s="102">
        <v>1.5</v>
      </c>
      <c r="G151" s="102">
        <f t="shared" ref="G151:G158" si="8">SUM(D151:F151)</f>
        <v>13238.61</v>
      </c>
      <c r="H151" s="98">
        <v>2.8340000000000001</v>
      </c>
      <c r="I151" s="102">
        <f>+D151*H151</f>
        <v>34208.448819999998</v>
      </c>
      <c r="J151" s="103">
        <f>+H151*E151</f>
        <v>3305.5209200000004</v>
      </c>
      <c r="K151" s="103">
        <f>+F151*H151</f>
        <v>4.2510000000000003</v>
      </c>
      <c r="L151" s="103">
        <f>SUM(I151:K151)</f>
        <v>37518.220739999997</v>
      </c>
    </row>
    <row r="152" spans="2:12">
      <c r="B152">
        <v>2</v>
      </c>
      <c r="C152" s="108">
        <v>40722</v>
      </c>
      <c r="D152" s="102">
        <v>11839.17</v>
      </c>
      <c r="E152" s="102">
        <v>1397.94</v>
      </c>
      <c r="F152" s="102">
        <v>1.5</v>
      </c>
      <c r="G152" s="102">
        <f t="shared" si="8"/>
        <v>13238.61</v>
      </c>
      <c r="H152" s="98">
        <v>2.8340000000000001</v>
      </c>
      <c r="I152" s="102">
        <f t="shared" ref="I152:I164" si="9">+D152*H152</f>
        <v>33552.207780000004</v>
      </c>
      <c r="J152" s="103">
        <f t="shared" ref="J152:J164" si="10">+H152*E152</f>
        <v>3961.7619600000003</v>
      </c>
      <c r="K152" s="103">
        <f t="shared" ref="K152:K164" si="11">+F152*H152</f>
        <v>4.2510000000000003</v>
      </c>
      <c r="L152" s="103">
        <f t="shared" ref="L152:L164" si="12">SUM(I152:K152)</f>
        <v>37518.220740000004</v>
      </c>
    </row>
    <row r="153" spans="2:12">
      <c r="B153">
        <v>3</v>
      </c>
      <c r="C153" s="108">
        <v>40752</v>
      </c>
      <c r="D153" s="102">
        <f>10994.01+499.21+122.86+796.32+372.11</f>
        <v>12784.51</v>
      </c>
      <c r="E153" s="102">
        <f>0.54+0.25+0.07+0.03+452.6+50+3.61+1.68+3.37+1.57</f>
        <v>513.72</v>
      </c>
      <c r="F153" s="102">
        <v>1.5</v>
      </c>
      <c r="G153" s="102">
        <f t="shared" si="8"/>
        <v>13299.73</v>
      </c>
      <c r="H153" s="98">
        <v>2.8340000000000001</v>
      </c>
      <c r="I153" s="102">
        <f t="shared" si="9"/>
        <v>36231.301339999998</v>
      </c>
      <c r="J153" s="103">
        <f t="shared" si="10"/>
        <v>1455.8824800000002</v>
      </c>
      <c r="K153" s="103">
        <f t="shared" si="11"/>
        <v>4.2510000000000003</v>
      </c>
      <c r="L153" s="103">
        <f t="shared" si="12"/>
        <v>37691.434819999995</v>
      </c>
    </row>
    <row r="154" spans="2:12">
      <c r="B154">
        <v>4</v>
      </c>
      <c r="C154" s="108">
        <v>40783</v>
      </c>
      <c r="D154" s="102">
        <v>12307.19</v>
      </c>
      <c r="E154" s="102">
        <v>929.92</v>
      </c>
      <c r="F154" s="102">
        <v>1.5</v>
      </c>
      <c r="G154" s="102">
        <f>SUM(D154:F154)</f>
        <v>13238.61</v>
      </c>
      <c r="H154" s="98">
        <v>2.8340000000000001</v>
      </c>
      <c r="I154" s="102">
        <f>+D155*H154</f>
        <v>34994.146979999998</v>
      </c>
      <c r="J154" s="103">
        <f t="shared" si="10"/>
        <v>2635.3932799999998</v>
      </c>
      <c r="K154" s="103">
        <f t="shared" si="11"/>
        <v>4.2510000000000003</v>
      </c>
      <c r="L154" s="103">
        <f t="shared" si="12"/>
        <v>37633.791259999991</v>
      </c>
    </row>
    <row r="155" spans="2:12">
      <c r="B155">
        <v>5</v>
      </c>
      <c r="C155" s="108">
        <v>40814</v>
      </c>
      <c r="D155" s="102">
        <v>12347.97</v>
      </c>
      <c r="E155" s="102">
        <v>889.14</v>
      </c>
      <c r="F155" s="102">
        <v>1.5</v>
      </c>
      <c r="G155" s="102">
        <f>SUM(D155:F155)</f>
        <v>13238.609999999999</v>
      </c>
      <c r="H155" s="98">
        <v>2.8340000000000001</v>
      </c>
      <c r="I155" s="102">
        <f>+D154*H155</f>
        <v>34878.576460000004</v>
      </c>
      <c r="J155" s="103">
        <f t="shared" si="10"/>
        <v>2519.82276</v>
      </c>
      <c r="K155" s="103">
        <f t="shared" si="11"/>
        <v>4.2510000000000003</v>
      </c>
      <c r="L155" s="103">
        <f t="shared" si="12"/>
        <v>37402.650220000003</v>
      </c>
    </row>
    <row r="156" spans="2:12">
      <c r="B156">
        <v>6</v>
      </c>
      <c r="C156" s="108">
        <v>40844</v>
      </c>
      <c r="D156" s="102">
        <v>5253.01</v>
      </c>
      <c r="E156" s="102">
        <v>781.28</v>
      </c>
      <c r="F156" s="102">
        <v>1.5</v>
      </c>
      <c r="G156" s="102">
        <f t="shared" si="8"/>
        <v>6035.79</v>
      </c>
      <c r="H156" s="98">
        <v>2.8340000000000001</v>
      </c>
      <c r="I156" s="102">
        <f t="shared" si="9"/>
        <v>14887.030340000001</v>
      </c>
      <c r="J156" s="103">
        <f t="shared" si="10"/>
        <v>2214.14752</v>
      </c>
      <c r="K156" s="103">
        <f t="shared" si="11"/>
        <v>4.2510000000000003</v>
      </c>
      <c r="L156" s="103">
        <f t="shared" si="12"/>
        <v>17105.42886</v>
      </c>
    </row>
    <row r="157" spans="2:12">
      <c r="B157">
        <v>6</v>
      </c>
      <c r="C157" s="108">
        <v>40847</v>
      </c>
      <c r="D157" s="102">
        <v>7202.82</v>
      </c>
      <c r="E157" s="102">
        <f>50+9.2</f>
        <v>59.2</v>
      </c>
      <c r="F157" s="102">
        <v>1.5</v>
      </c>
      <c r="G157" s="102">
        <f t="shared" si="8"/>
        <v>7263.5199999999995</v>
      </c>
      <c r="H157" s="98">
        <v>2.8340000000000001</v>
      </c>
      <c r="I157" s="102">
        <f t="shared" si="9"/>
        <v>20412.791880000001</v>
      </c>
      <c r="J157" s="103">
        <f t="shared" si="10"/>
        <v>167.77280000000002</v>
      </c>
      <c r="K157" s="103">
        <f t="shared" si="11"/>
        <v>4.2510000000000003</v>
      </c>
      <c r="L157" s="103">
        <f t="shared" si="12"/>
        <v>20584.81568</v>
      </c>
    </row>
    <row r="158" spans="2:12">
      <c r="B158">
        <v>7</v>
      </c>
      <c r="C158" s="108">
        <v>40875</v>
      </c>
      <c r="D158" s="102">
        <v>12542.11</v>
      </c>
      <c r="E158" s="102">
        <v>695</v>
      </c>
      <c r="F158" s="102">
        <v>1.5</v>
      </c>
      <c r="G158" s="102">
        <f t="shared" si="8"/>
        <v>13238.61</v>
      </c>
      <c r="H158" s="98">
        <v>2.8340000000000001</v>
      </c>
      <c r="I158" s="102">
        <f t="shared" si="9"/>
        <v>35544.339740000003</v>
      </c>
      <c r="J158" s="103">
        <f t="shared" si="10"/>
        <v>1969.63</v>
      </c>
      <c r="K158" s="103">
        <f t="shared" si="11"/>
        <v>4.2510000000000003</v>
      </c>
      <c r="L158" s="103">
        <f t="shared" si="12"/>
        <v>37518.220739999997</v>
      </c>
    </row>
    <row r="159" spans="2:12">
      <c r="B159">
        <v>8</v>
      </c>
      <c r="C159" s="108">
        <v>40905</v>
      </c>
      <c r="D159" s="102">
        <v>12674.18</v>
      </c>
      <c r="E159" s="102">
        <v>562.92999999999995</v>
      </c>
      <c r="F159" s="102">
        <v>1.5</v>
      </c>
      <c r="G159" s="102">
        <f t="shared" ref="G159:G164" si="13">SUM(D159:F159)</f>
        <v>13238.61</v>
      </c>
      <c r="H159" s="98">
        <v>2.8340000000000001</v>
      </c>
      <c r="I159" s="102">
        <f t="shared" si="9"/>
        <v>35918.626120000001</v>
      </c>
      <c r="J159" s="103">
        <f t="shared" si="10"/>
        <v>1595.3436199999999</v>
      </c>
      <c r="K159" s="103">
        <f t="shared" si="11"/>
        <v>4.2510000000000003</v>
      </c>
      <c r="L159" s="103">
        <f t="shared" si="12"/>
        <v>37518.220739999997</v>
      </c>
    </row>
    <row r="160" spans="2:12">
      <c r="B160" s="75">
        <v>9</v>
      </c>
      <c r="C160" s="109">
        <v>40938</v>
      </c>
      <c r="D160" s="110">
        <v>12739.44</v>
      </c>
      <c r="E160" s="110">
        <v>497.57</v>
      </c>
      <c r="F160" s="110">
        <v>1.5</v>
      </c>
      <c r="G160" s="110">
        <f t="shared" si="13"/>
        <v>13238.51</v>
      </c>
      <c r="H160" s="111">
        <v>2.6909999999999998</v>
      </c>
      <c r="I160" s="110">
        <f t="shared" si="9"/>
        <v>34281.833039999998</v>
      </c>
      <c r="J160" s="110">
        <f t="shared" si="10"/>
        <v>1338.9608699999999</v>
      </c>
      <c r="K160" s="110">
        <f t="shared" si="11"/>
        <v>4.0365000000000002</v>
      </c>
      <c r="L160" s="110">
        <f t="shared" si="12"/>
        <v>35624.830410000002</v>
      </c>
    </row>
    <row r="161" spans="2:13">
      <c r="B161" s="75">
        <v>10</v>
      </c>
      <c r="C161" s="109">
        <v>40967</v>
      </c>
      <c r="D161" s="110">
        <v>3821.97</v>
      </c>
      <c r="E161" s="110">
        <v>329.54</v>
      </c>
      <c r="F161" s="110">
        <v>1.5</v>
      </c>
      <c r="G161" s="110">
        <f t="shared" si="13"/>
        <v>4153.01</v>
      </c>
      <c r="H161" s="111">
        <v>2.6909999999999998</v>
      </c>
      <c r="I161" s="110">
        <f t="shared" si="9"/>
        <v>10284.921269999999</v>
      </c>
      <c r="J161" s="110">
        <f t="shared" si="10"/>
        <v>886.79214000000002</v>
      </c>
      <c r="K161" s="110">
        <f t="shared" si="11"/>
        <v>4.0365000000000002</v>
      </c>
      <c r="L161" s="110">
        <f t="shared" si="12"/>
        <v>11175.749909999999</v>
      </c>
    </row>
    <row r="162" spans="2:13">
      <c r="B162" s="75">
        <v>10</v>
      </c>
      <c r="C162" s="109">
        <v>40970</v>
      </c>
      <c r="D162" s="110">
        <v>9049.67</v>
      </c>
      <c r="E162" s="110">
        <f>7.87+3.68</f>
        <v>11.55</v>
      </c>
      <c r="F162" s="110"/>
      <c r="G162" s="110">
        <f t="shared" si="13"/>
        <v>9061.2199999999993</v>
      </c>
      <c r="H162" s="111">
        <v>2.6909999999999998</v>
      </c>
      <c r="I162" s="110">
        <f t="shared" si="9"/>
        <v>24352.661969999997</v>
      </c>
      <c r="J162" s="110">
        <f t="shared" si="10"/>
        <v>31.081050000000001</v>
      </c>
      <c r="K162" s="110">
        <f t="shared" si="11"/>
        <v>0</v>
      </c>
      <c r="L162" s="110">
        <f t="shared" si="12"/>
        <v>24383.743019999998</v>
      </c>
    </row>
    <row r="163" spans="2:13">
      <c r="B163" s="75">
        <v>10</v>
      </c>
      <c r="C163" s="109">
        <v>40970</v>
      </c>
      <c r="D163" s="110">
        <v>97.52</v>
      </c>
      <c r="E163" s="110"/>
      <c r="F163" s="110"/>
      <c r="G163" s="110">
        <f t="shared" si="13"/>
        <v>97.52</v>
      </c>
      <c r="H163" s="111">
        <v>2.6909999999999998</v>
      </c>
      <c r="I163" s="110">
        <f t="shared" si="9"/>
        <v>262.42631999999998</v>
      </c>
      <c r="J163" s="110">
        <f t="shared" si="10"/>
        <v>0</v>
      </c>
      <c r="K163" s="110">
        <f t="shared" si="11"/>
        <v>0</v>
      </c>
      <c r="L163" s="110">
        <f t="shared" si="12"/>
        <v>262.42631999999998</v>
      </c>
    </row>
    <row r="164" spans="2:13">
      <c r="B164" s="75">
        <v>11</v>
      </c>
      <c r="C164" s="112">
        <v>40996</v>
      </c>
      <c r="D164" s="110">
        <v>26127.62</v>
      </c>
      <c r="E164" s="110">
        <v>408.1</v>
      </c>
      <c r="F164" s="110">
        <v>1.5</v>
      </c>
      <c r="G164" s="110">
        <f t="shared" si="13"/>
        <v>26537.219999999998</v>
      </c>
      <c r="H164" s="111">
        <v>2.6909999999999998</v>
      </c>
      <c r="I164" s="110">
        <f t="shared" si="9"/>
        <v>70309.42542</v>
      </c>
      <c r="J164" s="110">
        <f t="shared" si="10"/>
        <v>1098.1971000000001</v>
      </c>
      <c r="K164" s="110">
        <f t="shared" si="11"/>
        <v>4.0365000000000002</v>
      </c>
      <c r="L164" s="110">
        <f t="shared" si="12"/>
        <v>71411.659020000006</v>
      </c>
      <c r="M164" s="2" t="s">
        <v>246</v>
      </c>
    </row>
    <row r="165" spans="2:13">
      <c r="B165"/>
      <c r="C165" s="113"/>
      <c r="D165" s="114">
        <f>SUM(D151:D164)</f>
        <v>150857.91</v>
      </c>
      <c r="E165" s="102"/>
      <c r="F165" s="102"/>
      <c r="G165" s="102"/>
      <c r="H165" s="98"/>
      <c r="I165" s="102"/>
      <c r="J165" s="103"/>
      <c r="K165" s="103"/>
      <c r="L165" s="104">
        <f>SUM(L151:L164)</f>
        <v>443349.41248000012</v>
      </c>
    </row>
    <row r="166" spans="2:13">
      <c r="B166"/>
      <c r="C166" s="98"/>
      <c r="D166" s="98"/>
      <c r="E166" s="98"/>
      <c r="F166" s="98"/>
      <c r="G166" s="98"/>
      <c r="H166" s="98"/>
      <c r="I166" s="98"/>
      <c r="J166" s="99"/>
      <c r="K166" s="99"/>
      <c r="L166" s="99"/>
    </row>
    <row r="167" spans="2:13">
      <c r="B167"/>
      <c r="C167" s="98"/>
      <c r="D167" s="98"/>
      <c r="E167" s="98"/>
      <c r="F167" s="98"/>
      <c r="G167" s="98"/>
      <c r="H167" s="98"/>
      <c r="I167" s="98"/>
      <c r="J167" s="99"/>
      <c r="K167" s="99"/>
      <c r="L167" s="99"/>
    </row>
    <row r="168" spans="2:13">
      <c r="B168"/>
      <c r="C168" s="98" t="s">
        <v>240</v>
      </c>
      <c r="D168" s="98"/>
      <c r="E168" s="98"/>
      <c r="F168" s="98"/>
      <c r="G168" s="98"/>
      <c r="H168" s="98"/>
      <c r="I168" s="98"/>
      <c r="J168" s="99"/>
      <c r="K168" s="104"/>
      <c r="L168" s="99"/>
    </row>
    <row r="169" spans="2:13">
      <c r="B169"/>
      <c r="C169" s="98">
        <v>9600054842</v>
      </c>
      <c r="D169" s="105">
        <v>50000</v>
      </c>
      <c r="E169" s="98"/>
      <c r="F169" s="98"/>
      <c r="G169" s="106">
        <v>40681</v>
      </c>
      <c r="H169" s="98"/>
      <c r="I169" s="105">
        <f>+H171*D169</f>
        <v>138100</v>
      </c>
      <c r="J169" s="99"/>
      <c r="K169" s="99"/>
      <c r="L169" s="99"/>
    </row>
    <row r="170" spans="2:13">
      <c r="B170"/>
      <c r="C170" s="107"/>
      <c r="D170" s="102"/>
      <c r="E170" s="107"/>
      <c r="F170" s="107"/>
      <c r="G170" s="107"/>
      <c r="H170" s="98"/>
      <c r="I170" s="98"/>
      <c r="J170" s="99"/>
      <c r="K170" s="99"/>
      <c r="L170" s="99"/>
    </row>
    <row r="171" spans="2:13">
      <c r="B171">
        <v>1</v>
      </c>
      <c r="C171" s="113">
        <v>40714</v>
      </c>
      <c r="D171" s="115">
        <v>3931.97</v>
      </c>
      <c r="E171" s="102">
        <v>480.61</v>
      </c>
      <c r="F171" s="102">
        <v>1.5</v>
      </c>
      <c r="G171" s="102">
        <f>SUM(D171:F171)</f>
        <v>4414.08</v>
      </c>
      <c r="H171" s="116">
        <v>2.762</v>
      </c>
      <c r="I171" s="102">
        <f>+H171*D171</f>
        <v>10860.101139999999</v>
      </c>
      <c r="J171" s="103">
        <f>+H171*E171</f>
        <v>1327.4448199999999</v>
      </c>
      <c r="K171" s="103">
        <f>+H171*F171</f>
        <v>4.1429999999999998</v>
      </c>
      <c r="L171" s="103">
        <f>SUM(I171:K171)</f>
        <v>12191.688959999999</v>
      </c>
    </row>
    <row r="172" spans="2:13">
      <c r="B172">
        <v>2</v>
      </c>
      <c r="C172" s="113">
        <v>40742</v>
      </c>
      <c r="D172" s="115">
        <v>4037.13</v>
      </c>
      <c r="E172" s="102">
        <v>375.45</v>
      </c>
      <c r="F172" s="102">
        <v>1.5</v>
      </c>
      <c r="G172" s="102">
        <f t="shared" ref="G172:G182" si="14">SUM(D172:F172)</f>
        <v>4414.08</v>
      </c>
      <c r="H172" s="116">
        <v>2.762</v>
      </c>
      <c r="I172" s="102">
        <f t="shared" ref="I172:I182" si="15">+H172*D172</f>
        <v>11150.55306</v>
      </c>
      <c r="J172" s="103">
        <f t="shared" ref="J172:J182" si="16">+H172*E172</f>
        <v>1036.9929</v>
      </c>
      <c r="K172" s="103">
        <f t="shared" ref="K172:K182" si="17">+H172*F172</f>
        <v>4.1429999999999998</v>
      </c>
      <c r="L172" s="103">
        <f t="shared" ref="L172:L182" si="18">SUM(I172:K172)</f>
        <v>12191.688959999999</v>
      </c>
    </row>
    <row r="173" spans="2:13">
      <c r="B173">
        <v>3</v>
      </c>
      <c r="C173" s="113">
        <v>40773</v>
      </c>
      <c r="D173" s="115">
        <v>4033.16</v>
      </c>
      <c r="E173" s="102">
        <v>379.42</v>
      </c>
      <c r="F173" s="102">
        <v>1.5</v>
      </c>
      <c r="G173" s="102">
        <f t="shared" si="14"/>
        <v>4414.08</v>
      </c>
      <c r="H173" s="116">
        <v>2.762</v>
      </c>
      <c r="I173" s="102">
        <f t="shared" si="15"/>
        <v>11139.58792</v>
      </c>
      <c r="J173" s="103">
        <f t="shared" si="16"/>
        <v>1047.95804</v>
      </c>
      <c r="K173" s="103">
        <f t="shared" si="17"/>
        <v>4.1429999999999998</v>
      </c>
      <c r="L173" s="103">
        <f t="shared" si="18"/>
        <v>12191.688959999999</v>
      </c>
    </row>
    <row r="174" spans="2:13">
      <c r="B174">
        <v>4</v>
      </c>
      <c r="C174" s="113">
        <v>40805</v>
      </c>
      <c r="D174" s="115">
        <v>4033.16</v>
      </c>
      <c r="E174" s="102">
        <v>379.42</v>
      </c>
      <c r="F174" s="102">
        <v>1.5</v>
      </c>
      <c r="G174" s="102">
        <f t="shared" si="14"/>
        <v>4414.08</v>
      </c>
      <c r="H174" s="116">
        <v>2.762</v>
      </c>
      <c r="I174" s="102">
        <f t="shared" si="15"/>
        <v>11139.58792</v>
      </c>
      <c r="J174" s="103">
        <f t="shared" si="16"/>
        <v>1047.95804</v>
      </c>
      <c r="K174" s="103">
        <f t="shared" si="17"/>
        <v>4.1429999999999998</v>
      </c>
      <c r="L174" s="103">
        <f t="shared" si="18"/>
        <v>12191.688959999999</v>
      </c>
    </row>
    <row r="175" spans="2:13">
      <c r="B175">
        <v>5</v>
      </c>
      <c r="C175" s="113">
        <v>40834</v>
      </c>
      <c r="D175" s="115">
        <v>4126.0600000000004</v>
      </c>
      <c r="E175" s="102">
        <v>286.52</v>
      </c>
      <c r="F175" s="102">
        <v>1.5</v>
      </c>
      <c r="G175" s="102">
        <f t="shared" si="14"/>
        <v>4414.08</v>
      </c>
      <c r="H175" s="116">
        <v>2.762</v>
      </c>
      <c r="I175" s="102">
        <f t="shared" si="15"/>
        <v>11396.177720000002</v>
      </c>
      <c r="J175" s="103">
        <f t="shared" si="16"/>
        <v>791.3682399999999</v>
      </c>
      <c r="K175" s="103">
        <f t="shared" si="17"/>
        <v>4.1429999999999998</v>
      </c>
      <c r="L175" s="103">
        <f t="shared" si="18"/>
        <v>12191.688960000001</v>
      </c>
    </row>
    <row r="176" spans="2:13">
      <c r="B176">
        <v>6</v>
      </c>
      <c r="C176" s="113">
        <v>40865</v>
      </c>
      <c r="D176" s="115">
        <v>4143.45</v>
      </c>
      <c r="E176" s="102">
        <v>269.13</v>
      </c>
      <c r="F176" s="102">
        <v>1.5</v>
      </c>
      <c r="G176" s="102">
        <f t="shared" si="14"/>
        <v>4414.08</v>
      </c>
      <c r="H176" s="116">
        <v>2.762</v>
      </c>
      <c r="I176" s="102">
        <f t="shared" si="15"/>
        <v>11444.2089</v>
      </c>
      <c r="J176" s="103">
        <f t="shared" si="16"/>
        <v>743.33705999999995</v>
      </c>
      <c r="K176" s="103">
        <f t="shared" si="17"/>
        <v>4.1429999999999998</v>
      </c>
      <c r="L176" s="103">
        <f t="shared" si="18"/>
        <v>12191.688959999999</v>
      </c>
    </row>
    <row r="177" spans="2:13">
      <c r="B177">
        <v>7</v>
      </c>
      <c r="C177" s="113">
        <v>40896</v>
      </c>
      <c r="D177" s="115">
        <v>4180.8599999999997</v>
      </c>
      <c r="E177" s="102">
        <v>231.72</v>
      </c>
      <c r="F177" s="102">
        <v>1.5</v>
      </c>
      <c r="G177" s="102">
        <f t="shared" si="14"/>
        <v>4414.08</v>
      </c>
      <c r="H177" s="116">
        <v>2.762</v>
      </c>
      <c r="I177" s="102">
        <f t="shared" si="15"/>
        <v>11547.535319999999</v>
      </c>
      <c r="J177" s="103">
        <f t="shared" si="16"/>
        <v>640.01063999999997</v>
      </c>
      <c r="K177" s="103">
        <f t="shared" si="17"/>
        <v>4.1429999999999998</v>
      </c>
      <c r="L177" s="103">
        <f t="shared" si="18"/>
        <v>12191.688959999999</v>
      </c>
    </row>
    <row r="178" spans="2:13">
      <c r="B178">
        <v>8</v>
      </c>
      <c r="C178" s="112">
        <v>40926</v>
      </c>
      <c r="D178" s="117">
        <v>4224.88</v>
      </c>
      <c r="E178" s="110">
        <v>187.7</v>
      </c>
      <c r="F178" s="110">
        <v>1.5</v>
      </c>
      <c r="G178" s="110">
        <f t="shared" si="14"/>
        <v>4414.08</v>
      </c>
      <c r="H178" s="118">
        <v>2.6930000000000001</v>
      </c>
      <c r="I178" s="110">
        <f t="shared" si="15"/>
        <v>11377.601840000001</v>
      </c>
      <c r="J178" s="110">
        <f t="shared" si="16"/>
        <v>505.47609999999997</v>
      </c>
      <c r="K178" s="110">
        <f t="shared" si="17"/>
        <v>4.0395000000000003</v>
      </c>
      <c r="L178" s="110">
        <f t="shared" si="18"/>
        <v>11887.117440000002</v>
      </c>
    </row>
    <row r="179" spans="2:13">
      <c r="B179">
        <v>9</v>
      </c>
      <c r="C179" s="112">
        <v>40959</v>
      </c>
      <c r="D179" s="117">
        <f>4224.88+6.61+40+10</f>
        <v>4281.49</v>
      </c>
      <c r="E179" s="110">
        <v>131.09</v>
      </c>
      <c r="F179" s="110">
        <v>1.5</v>
      </c>
      <c r="G179" s="110">
        <f t="shared" si="14"/>
        <v>4414.08</v>
      </c>
      <c r="H179" s="118">
        <v>2.6930000000000001</v>
      </c>
      <c r="I179" s="110">
        <f t="shared" si="15"/>
        <v>11530.05257</v>
      </c>
      <c r="J179" s="110">
        <f t="shared" si="16"/>
        <v>353.02537000000001</v>
      </c>
      <c r="K179" s="110">
        <f t="shared" si="17"/>
        <v>4.0395000000000003</v>
      </c>
      <c r="L179" s="110">
        <f t="shared" si="18"/>
        <v>11887.11744</v>
      </c>
    </row>
    <row r="180" spans="2:13">
      <c r="B180">
        <v>10</v>
      </c>
      <c r="C180" s="112">
        <v>40987</v>
      </c>
      <c r="D180" s="117">
        <f>4224.88+6.61+6.61+50-10+10+10</f>
        <v>4298.0999999999995</v>
      </c>
      <c r="E180" s="110">
        <v>114.48</v>
      </c>
      <c r="F180" s="110">
        <v>1.5</v>
      </c>
      <c r="G180" s="110">
        <f t="shared" si="14"/>
        <v>4414.079999999999</v>
      </c>
      <c r="H180" s="118">
        <v>2.6930000000000001</v>
      </c>
      <c r="I180" s="110">
        <f t="shared" si="15"/>
        <v>11574.783299999999</v>
      </c>
      <c r="J180" s="110">
        <f t="shared" si="16"/>
        <v>308.29464000000002</v>
      </c>
      <c r="K180" s="110">
        <f t="shared" si="17"/>
        <v>4.0395000000000003</v>
      </c>
      <c r="L180" s="110">
        <f t="shared" si="18"/>
        <v>11887.11744</v>
      </c>
    </row>
    <row r="181" spans="2:13">
      <c r="B181">
        <v>11</v>
      </c>
      <c r="C181" s="112">
        <v>41017</v>
      </c>
      <c r="D181" s="117">
        <f>4224.88+6.61+6.61+6.61+50+30-10</f>
        <v>4314.7099999999991</v>
      </c>
      <c r="E181" s="110">
        <v>97.87</v>
      </c>
      <c r="F181" s="110">
        <v>1.5</v>
      </c>
      <c r="G181" s="110">
        <f t="shared" si="14"/>
        <v>4414.079999999999</v>
      </c>
      <c r="H181" s="118">
        <v>2.6930000000000001</v>
      </c>
      <c r="I181" s="110">
        <f t="shared" si="15"/>
        <v>11619.514029999998</v>
      </c>
      <c r="J181" s="110">
        <f t="shared" si="16"/>
        <v>263.56391000000002</v>
      </c>
      <c r="K181" s="110">
        <f t="shared" si="17"/>
        <v>4.0395000000000003</v>
      </c>
      <c r="L181" s="110">
        <f t="shared" si="18"/>
        <v>11887.11744</v>
      </c>
    </row>
    <row r="182" spans="2:13">
      <c r="B182">
        <v>12</v>
      </c>
      <c r="C182" s="112">
        <v>41047</v>
      </c>
      <c r="D182" s="117">
        <f>4414.08+20.95-20-20</f>
        <v>4395.03</v>
      </c>
      <c r="E182" s="110">
        <v>17.55</v>
      </c>
      <c r="F182" s="110">
        <v>1.5</v>
      </c>
      <c r="G182" s="110">
        <f t="shared" si="14"/>
        <v>4414.08</v>
      </c>
      <c r="H182" s="118">
        <v>2.6930000000000001</v>
      </c>
      <c r="I182" s="110">
        <f t="shared" si="15"/>
        <v>11835.815789999999</v>
      </c>
      <c r="J182" s="110">
        <f t="shared" si="16"/>
        <v>47.262150000000005</v>
      </c>
      <c r="K182" s="110">
        <f t="shared" si="17"/>
        <v>4.0395000000000003</v>
      </c>
      <c r="L182" s="110">
        <f t="shared" si="18"/>
        <v>11887.11744</v>
      </c>
      <c r="M182" s="2" t="s">
        <v>246</v>
      </c>
    </row>
    <row r="183" spans="2:13">
      <c r="B183"/>
      <c r="C183" s="119"/>
      <c r="D183" s="120">
        <f>SUM(D171:D182)</f>
        <v>50000</v>
      </c>
      <c r="E183" s="121"/>
      <c r="F183" s="121"/>
      <c r="G183" s="121"/>
      <c r="H183" s="98"/>
      <c r="I183" s="98"/>
      <c r="J183" s="99"/>
      <c r="K183" s="99"/>
      <c r="L183" s="104">
        <f>SUM(L171:L182)</f>
        <v>144777.40992000001</v>
      </c>
    </row>
    <row r="184" spans="2:13">
      <c r="B184"/>
      <c r="C184" s="119"/>
      <c r="D184" s="122"/>
      <c r="E184" s="121"/>
      <c r="F184" s="121"/>
      <c r="G184" s="121"/>
      <c r="H184" s="98"/>
      <c r="I184" s="98"/>
      <c r="J184" s="99"/>
      <c r="K184" s="99"/>
      <c r="L184" s="99"/>
    </row>
    <row r="185" spans="2:13">
      <c r="B185"/>
      <c r="C185" s="119"/>
      <c r="D185" s="122">
        <f>+D169-D183</f>
        <v>0</v>
      </c>
      <c r="E185" s="121"/>
      <c r="F185" s="121"/>
      <c r="G185" s="121"/>
      <c r="H185" s="98"/>
      <c r="I185" s="98"/>
      <c r="J185" s="99"/>
      <c r="K185" s="99"/>
      <c r="L185" s="99"/>
    </row>
    <row r="186" spans="2:13">
      <c r="B186"/>
      <c r="C186" s="98"/>
      <c r="D186" s="98"/>
      <c r="E186" s="98"/>
      <c r="F186" s="98"/>
      <c r="G186" s="98"/>
      <c r="H186" s="98"/>
      <c r="I186" s="98"/>
      <c r="J186" s="99"/>
      <c r="K186" s="99"/>
      <c r="L186" s="99"/>
    </row>
    <row r="187" spans="2:13">
      <c r="B187"/>
      <c r="C187" s="98" t="s">
        <v>240</v>
      </c>
      <c r="D187" s="98"/>
      <c r="E187" s="98"/>
      <c r="F187" s="98"/>
      <c r="G187" s="98"/>
      <c r="H187" s="98"/>
      <c r="I187" s="98"/>
      <c r="J187" s="99"/>
      <c r="K187" s="99"/>
      <c r="L187" s="99"/>
    </row>
    <row r="188" spans="2:13">
      <c r="B188"/>
      <c r="C188" s="98">
        <v>9600058953</v>
      </c>
      <c r="D188" s="105">
        <v>51814.98</v>
      </c>
      <c r="E188" s="98"/>
      <c r="F188" s="98"/>
      <c r="G188" s="106">
        <v>40820</v>
      </c>
      <c r="H188" s="98"/>
      <c r="I188" s="105">
        <f>+H190*D188</f>
        <v>143527.49460000001</v>
      </c>
      <c r="J188" s="99"/>
      <c r="K188" s="99"/>
      <c r="L188" s="99"/>
    </row>
    <row r="189" spans="2:13">
      <c r="B189"/>
      <c r="C189" s="107"/>
      <c r="D189" s="102"/>
      <c r="E189" s="107"/>
      <c r="F189" s="107"/>
      <c r="G189" s="107"/>
      <c r="H189" s="98"/>
      <c r="I189" s="98"/>
      <c r="J189" s="99"/>
      <c r="K189" s="99"/>
      <c r="L189" s="99"/>
    </row>
    <row r="190" spans="2:13">
      <c r="B190"/>
      <c r="C190" s="108">
        <v>40973</v>
      </c>
      <c r="D190" s="102">
        <v>51814.98</v>
      </c>
      <c r="E190" s="102">
        <v>452.58</v>
      </c>
      <c r="F190" s="102">
        <v>1.5</v>
      </c>
      <c r="G190" s="102">
        <f>SUM(D190:F190)</f>
        <v>52269.060000000005</v>
      </c>
      <c r="H190" s="123">
        <v>2.77</v>
      </c>
      <c r="I190" s="102">
        <f>+D190*H190</f>
        <v>143527.49460000001</v>
      </c>
      <c r="J190" s="103">
        <f>+H190*E190</f>
        <v>1253.6466</v>
      </c>
      <c r="K190" s="103">
        <f>+H190*F190</f>
        <v>4.1550000000000002</v>
      </c>
      <c r="L190" s="103">
        <f>SUM(I190:K190)</f>
        <v>144785.29620000001</v>
      </c>
      <c r="M190" s="2" t="s">
        <v>246</v>
      </c>
    </row>
    <row r="191" spans="2:13">
      <c r="B191"/>
      <c r="C191" s="108"/>
      <c r="D191" s="102"/>
      <c r="E191" s="102"/>
      <c r="F191" s="102"/>
      <c r="G191" s="102"/>
      <c r="H191" s="98"/>
      <c r="I191" s="102"/>
      <c r="J191" s="103"/>
      <c r="K191" s="103"/>
      <c r="L191" s="103"/>
    </row>
    <row r="192" spans="2:13">
      <c r="B192"/>
      <c r="C192" s="108"/>
      <c r="D192" s="102"/>
      <c r="E192" s="107"/>
      <c r="F192" s="107"/>
      <c r="G192" s="107"/>
      <c r="H192" s="98"/>
      <c r="I192" s="102"/>
      <c r="J192" s="103"/>
      <c r="K192" s="103"/>
      <c r="L192" s="103"/>
    </row>
    <row r="193" spans="2:13">
      <c r="B193"/>
      <c r="C193" s="108"/>
      <c r="D193" s="102"/>
      <c r="E193" s="107"/>
      <c r="F193" s="107"/>
      <c r="G193" s="107"/>
      <c r="H193" s="98"/>
      <c r="I193" s="107"/>
      <c r="J193" s="124"/>
      <c r="K193" s="124"/>
      <c r="L193" s="124"/>
    </row>
    <row r="194" spans="2:13">
      <c r="B194"/>
      <c r="C194" s="107"/>
      <c r="D194" s="107"/>
      <c r="E194" s="107"/>
      <c r="F194" s="107"/>
      <c r="G194" s="107"/>
      <c r="H194" s="98"/>
      <c r="I194" s="107"/>
      <c r="J194" s="124"/>
      <c r="K194" s="124"/>
      <c r="L194" s="124"/>
    </row>
    <row r="195" spans="2:13">
      <c r="B195"/>
      <c r="C195" s="107"/>
      <c r="D195" s="107"/>
      <c r="E195" s="107"/>
      <c r="F195" s="107"/>
      <c r="G195" s="107"/>
      <c r="H195" s="98"/>
      <c r="I195" s="107"/>
      <c r="J195" s="124"/>
      <c r="K195" s="124"/>
      <c r="L195" s="124"/>
    </row>
    <row r="196" spans="2:13">
      <c r="B196"/>
      <c r="C196" s="98"/>
      <c r="D196" s="98"/>
      <c r="E196" s="98"/>
      <c r="F196" s="98"/>
      <c r="G196" s="98"/>
      <c r="H196" s="98"/>
      <c r="I196" s="98"/>
      <c r="J196" s="99"/>
      <c r="K196" s="99"/>
      <c r="L196" s="99"/>
    </row>
    <row r="197" spans="2:13">
      <c r="B197"/>
      <c r="C197" s="98"/>
      <c r="D197" s="98"/>
      <c r="E197" s="98"/>
      <c r="F197" s="98"/>
      <c r="G197" s="98"/>
      <c r="H197" s="98"/>
      <c r="I197" s="98"/>
      <c r="J197" s="99"/>
      <c r="K197" s="99"/>
      <c r="L197" s="99"/>
    </row>
    <row r="198" spans="2:13">
      <c r="B198"/>
      <c r="C198" s="98" t="s">
        <v>240</v>
      </c>
      <c r="D198" s="98"/>
      <c r="E198" s="98"/>
      <c r="F198" s="98"/>
      <c r="G198" s="98"/>
      <c r="H198" s="98"/>
      <c r="I198" s="98"/>
      <c r="J198" s="99"/>
      <c r="K198" s="99"/>
      <c r="L198" s="99"/>
    </row>
    <row r="199" spans="2:13">
      <c r="B199"/>
      <c r="C199" s="98">
        <v>9600061600</v>
      </c>
      <c r="D199" s="105">
        <v>55000</v>
      </c>
      <c r="E199" s="98"/>
      <c r="F199" s="98"/>
      <c r="G199" s="106">
        <v>40897</v>
      </c>
      <c r="H199" s="98"/>
      <c r="I199" s="105">
        <f>+H201*D199</f>
        <v>148390</v>
      </c>
      <c r="J199" s="99"/>
      <c r="K199" s="99"/>
      <c r="L199" s="99"/>
    </row>
    <row r="200" spans="2:13">
      <c r="B200"/>
      <c r="C200" s="107"/>
      <c r="D200" s="102"/>
      <c r="E200" s="107"/>
      <c r="F200" s="107"/>
      <c r="G200" s="107"/>
      <c r="H200" s="98"/>
      <c r="I200" s="98"/>
      <c r="J200" s="99"/>
      <c r="K200" s="99"/>
      <c r="L200" s="99"/>
    </row>
    <row r="201" spans="2:13">
      <c r="B201"/>
      <c r="C201" s="108">
        <v>41063</v>
      </c>
      <c r="D201" s="102">
        <v>55000</v>
      </c>
      <c r="E201" s="102">
        <v>1470.2</v>
      </c>
      <c r="F201" s="102">
        <v>1.5</v>
      </c>
      <c r="G201" s="102">
        <f>SUM(D201:F201)</f>
        <v>56471.7</v>
      </c>
      <c r="H201" s="125">
        <v>2.698</v>
      </c>
      <c r="I201" s="105">
        <f>+H201*D201</f>
        <v>148390</v>
      </c>
      <c r="J201" s="104">
        <f>+H201*E201</f>
        <v>3966.5996</v>
      </c>
      <c r="K201" s="104">
        <f>+H201*F201</f>
        <v>4.0469999999999997</v>
      </c>
      <c r="L201" s="104">
        <f>SUM(I201:K202)</f>
        <v>152360.64659999998</v>
      </c>
      <c r="M201" s="2" t="s">
        <v>246</v>
      </c>
    </row>
    <row r="202" spans="2:13">
      <c r="B202"/>
      <c r="C202" s="108"/>
      <c r="D202" s="102"/>
      <c r="E202" s="102"/>
      <c r="F202" s="102"/>
      <c r="G202" s="102"/>
      <c r="H202" s="98"/>
      <c r="I202" s="105"/>
      <c r="J202" s="104"/>
      <c r="K202" s="104"/>
      <c r="L202" s="104"/>
    </row>
    <row r="203" spans="2:13">
      <c r="B203"/>
      <c r="C203" s="108"/>
      <c r="D203" s="102"/>
      <c r="E203" s="102"/>
      <c r="F203" s="102"/>
      <c r="G203" s="102"/>
      <c r="H203" s="98"/>
      <c r="I203" s="105"/>
      <c r="J203" s="104"/>
      <c r="K203" s="104"/>
      <c r="L203" s="104"/>
    </row>
    <row r="204" spans="2:13">
      <c r="B204"/>
      <c r="C204" s="108"/>
      <c r="D204" s="102"/>
      <c r="E204" s="102"/>
      <c r="F204" s="102"/>
      <c r="G204" s="102"/>
      <c r="H204" s="98"/>
      <c r="I204" s="105"/>
      <c r="J204" s="104"/>
      <c r="K204" s="104"/>
      <c r="L204" s="104"/>
    </row>
    <row r="205" spans="2:13">
      <c r="B205"/>
      <c r="C205" s="107"/>
      <c r="D205" s="107"/>
      <c r="E205" s="107"/>
      <c r="F205" s="107"/>
      <c r="G205" s="107"/>
      <c r="H205" s="98"/>
      <c r="I205" s="105"/>
      <c r="J205" s="104"/>
      <c r="K205" s="104"/>
      <c r="L205" s="104"/>
    </row>
    <row r="206" spans="2:13">
      <c r="B206"/>
      <c r="C206" s="107"/>
      <c r="D206" s="107"/>
      <c r="E206" s="107"/>
      <c r="F206" s="107"/>
      <c r="G206" s="107"/>
      <c r="H206" s="98"/>
      <c r="I206" s="105"/>
      <c r="J206" s="104"/>
      <c r="K206" s="104"/>
      <c r="L206" s="104"/>
    </row>
    <row r="207" spans="2:13">
      <c r="B207"/>
      <c r="C207" s="98"/>
      <c r="D207" s="98"/>
      <c r="E207" s="98"/>
      <c r="F207" s="98"/>
      <c r="G207" s="98"/>
      <c r="H207" s="98"/>
      <c r="I207" s="98"/>
      <c r="J207" s="99"/>
      <c r="K207" s="99"/>
      <c r="L207" s="99"/>
    </row>
    <row r="208" spans="2:13">
      <c r="B208"/>
      <c r="C208" s="98"/>
      <c r="D208" s="98"/>
      <c r="E208" s="98"/>
      <c r="F208" s="98"/>
      <c r="G208" s="98"/>
      <c r="H208" s="98"/>
      <c r="I208" s="98"/>
      <c r="J208" s="99"/>
      <c r="K208" s="99"/>
      <c r="L208" s="99"/>
    </row>
    <row r="209" spans="2:12">
      <c r="B209"/>
      <c r="C209" s="98"/>
      <c r="D209" s="98"/>
      <c r="E209" s="98"/>
      <c r="F209" s="98"/>
      <c r="G209" s="98"/>
      <c r="H209" s="98"/>
      <c r="I209" s="98"/>
      <c r="J209" s="99"/>
      <c r="K209" s="99"/>
      <c r="L209" s="99"/>
    </row>
    <row r="210" spans="2:12">
      <c r="B210"/>
      <c r="C210" s="98" t="s">
        <v>240</v>
      </c>
      <c r="D210" s="98"/>
      <c r="E210" s="98"/>
      <c r="F210" s="98"/>
      <c r="G210" s="98"/>
      <c r="H210" s="98"/>
      <c r="I210" s="98"/>
      <c r="J210" s="99"/>
      <c r="K210" s="99"/>
      <c r="L210" s="99"/>
    </row>
    <row r="211" spans="2:12">
      <c r="B211"/>
      <c r="C211" s="126">
        <v>40764</v>
      </c>
      <c r="D211" s="126">
        <v>40764</v>
      </c>
      <c r="E211" s="127" t="s">
        <v>241</v>
      </c>
      <c r="F211" s="127">
        <v>139522</v>
      </c>
      <c r="G211" s="127">
        <v>107256.8</v>
      </c>
      <c r="H211" s="98"/>
      <c r="I211" s="98"/>
      <c r="J211" s="99"/>
      <c r="K211" s="99"/>
      <c r="L211" s="99"/>
    </row>
    <row r="212" spans="2:12">
      <c r="B212"/>
      <c r="C212" s="128"/>
      <c r="D212" s="128"/>
      <c r="E212" s="129"/>
      <c r="F212" s="129"/>
      <c r="G212" s="129"/>
      <c r="H212" s="129"/>
      <c r="I212" s="98"/>
      <c r="J212" s="99"/>
      <c r="K212" s="99"/>
      <c r="L212" s="99"/>
    </row>
    <row r="213" spans="2:12">
      <c r="B213"/>
      <c r="C213" s="126" t="s">
        <v>242</v>
      </c>
      <c r="D213" s="126" t="s">
        <v>243</v>
      </c>
      <c r="E213" s="127" t="s">
        <v>244</v>
      </c>
      <c r="F213" s="127" t="s">
        <v>245</v>
      </c>
      <c r="G213" s="127"/>
      <c r="H213" s="129"/>
      <c r="I213" s="98"/>
      <c r="J213" s="99"/>
      <c r="K213" s="99"/>
      <c r="L213" s="99"/>
    </row>
    <row r="214" spans="2:12">
      <c r="B214"/>
      <c r="C214" s="130">
        <v>1</v>
      </c>
      <c r="D214" s="113">
        <v>40415</v>
      </c>
      <c r="E214" s="115">
        <v>17209.8</v>
      </c>
      <c r="F214" s="115">
        <v>0</v>
      </c>
      <c r="G214" s="130" t="s">
        <v>246</v>
      </c>
      <c r="H214" s="129">
        <v>2.77</v>
      </c>
      <c r="I214" s="98"/>
      <c r="J214" s="99"/>
      <c r="K214" s="99"/>
      <c r="L214" s="99"/>
    </row>
    <row r="215" spans="2:12">
      <c r="B215"/>
      <c r="C215" s="130">
        <v>2</v>
      </c>
      <c r="D215" s="113">
        <v>40599</v>
      </c>
      <c r="E215" s="115">
        <v>17209.8</v>
      </c>
      <c r="F215" s="115">
        <v>0</v>
      </c>
      <c r="G215" s="130" t="s">
        <v>246</v>
      </c>
      <c r="H215" s="129">
        <v>2.77</v>
      </c>
      <c r="I215" s="105">
        <f>+H215*E215</f>
        <v>47671.146000000001</v>
      </c>
      <c r="J215" s="99"/>
      <c r="K215" s="99"/>
      <c r="L215" s="99"/>
    </row>
    <row r="216" spans="2:12">
      <c r="B216"/>
      <c r="C216" s="130">
        <v>3</v>
      </c>
      <c r="D216" s="113">
        <v>40780</v>
      </c>
      <c r="E216" s="115">
        <v>17209.8</v>
      </c>
      <c r="F216" s="115">
        <v>17209.8</v>
      </c>
      <c r="G216" s="130" t="s">
        <v>246</v>
      </c>
      <c r="H216" s="129">
        <v>2.77</v>
      </c>
      <c r="I216" s="105">
        <f>+H216*E216</f>
        <v>47671.146000000001</v>
      </c>
      <c r="J216" s="99"/>
      <c r="K216" s="99"/>
      <c r="L216" s="99"/>
    </row>
    <row r="217" spans="2:12">
      <c r="B217"/>
      <c r="C217" s="130">
        <v>4</v>
      </c>
      <c r="D217" s="113">
        <v>40964</v>
      </c>
      <c r="E217" s="115">
        <v>17209.8</v>
      </c>
      <c r="F217" s="115">
        <v>0</v>
      </c>
      <c r="G217" s="130" t="s">
        <v>246</v>
      </c>
      <c r="H217" s="129">
        <v>2.77</v>
      </c>
      <c r="I217" s="131">
        <f>+H217*E217</f>
        <v>47671.146000000001</v>
      </c>
      <c r="J217" s="99"/>
      <c r="K217" s="99"/>
      <c r="L217" s="99"/>
    </row>
    <row r="218" spans="2:12">
      <c r="B218"/>
      <c r="C218" s="130">
        <v>5</v>
      </c>
      <c r="D218" s="113">
        <v>41146</v>
      </c>
      <c r="E218" s="115">
        <v>17209.8</v>
      </c>
      <c r="F218" s="115">
        <v>45</v>
      </c>
      <c r="G218" s="130" t="s">
        <v>246</v>
      </c>
      <c r="H218" s="129">
        <v>2.77</v>
      </c>
      <c r="I218" s="131">
        <f>+H218*E218</f>
        <v>47671.146000000001</v>
      </c>
      <c r="J218" s="99"/>
      <c r="K218" s="99"/>
      <c r="L218" s="99"/>
    </row>
    <row r="219" spans="2:12">
      <c r="B219"/>
      <c r="C219" s="164">
        <v>6</v>
      </c>
      <c r="D219" s="165">
        <v>41330</v>
      </c>
      <c r="E219" s="166">
        <v>17209.8</v>
      </c>
      <c r="F219" s="166">
        <v>17209.8</v>
      </c>
      <c r="G219" s="164" t="s">
        <v>247</v>
      </c>
      <c r="H219" s="129">
        <v>2.77</v>
      </c>
      <c r="I219" s="131">
        <f>+H219*E219</f>
        <v>47671.146000000001</v>
      </c>
      <c r="J219" s="99"/>
      <c r="K219" s="99"/>
      <c r="L219" s="99"/>
    </row>
    <row r="220" spans="2:12">
      <c r="B220"/>
      <c r="C220" s="130">
        <v>7</v>
      </c>
      <c r="D220" s="113">
        <v>41511</v>
      </c>
      <c r="E220" s="115">
        <v>17209.8</v>
      </c>
      <c r="F220" s="115">
        <v>17209.8</v>
      </c>
      <c r="G220" s="130" t="s">
        <v>247</v>
      </c>
      <c r="H220" s="129">
        <v>2.77</v>
      </c>
      <c r="I220" s="98"/>
      <c r="J220" s="99"/>
      <c r="K220" s="99"/>
      <c r="L220" s="99"/>
    </row>
    <row r="221" spans="2:12">
      <c r="B221"/>
      <c r="C221" s="130">
        <v>8</v>
      </c>
      <c r="D221" s="113">
        <v>41695</v>
      </c>
      <c r="E221" s="115">
        <v>17209.84</v>
      </c>
      <c r="F221" s="115">
        <v>17209.84</v>
      </c>
      <c r="G221" s="130" t="s">
        <v>247</v>
      </c>
      <c r="H221" s="129">
        <v>2.77</v>
      </c>
      <c r="I221" s="98"/>
      <c r="J221" s="99"/>
      <c r="K221" s="99"/>
      <c r="L221" s="99"/>
    </row>
    <row r="222" spans="2:12">
      <c r="B222"/>
      <c r="C222" s="130">
        <v>9</v>
      </c>
      <c r="D222" s="113">
        <v>41846</v>
      </c>
      <c r="E222" s="115">
        <v>1843.56</v>
      </c>
      <c r="F222" s="115">
        <v>1843.56</v>
      </c>
      <c r="G222" s="130" t="s">
        <v>247</v>
      </c>
      <c r="H222" s="129">
        <v>2.77</v>
      </c>
      <c r="I222" s="98"/>
      <c r="J222" s="99"/>
      <c r="K222" s="99"/>
      <c r="L222" s="99"/>
    </row>
    <row r="223" spans="2:12">
      <c r="B223"/>
      <c r="C223" s="126"/>
      <c r="D223" s="126"/>
      <c r="E223" s="132"/>
      <c r="F223" s="132"/>
      <c r="G223" s="127"/>
      <c r="H223" s="129"/>
      <c r="I223" s="98"/>
      <c r="J223" s="99"/>
      <c r="K223" s="99"/>
      <c r="L223" s="99"/>
    </row>
    <row r="224" spans="2:12">
      <c r="B224"/>
      <c r="C224" s="98"/>
      <c r="D224" s="98"/>
      <c r="E224" s="98"/>
      <c r="F224" s="98"/>
      <c r="G224" s="98"/>
      <c r="H224" s="98"/>
      <c r="I224" s="98"/>
      <c r="J224" s="99"/>
      <c r="K224" s="99"/>
      <c r="L224" s="99"/>
    </row>
    <row r="225" spans="2:12">
      <c r="B225"/>
      <c r="C225" s="98"/>
      <c r="D225" s="98"/>
      <c r="E225" s="98"/>
      <c r="F225" s="98"/>
      <c r="G225" s="98"/>
      <c r="H225" s="98"/>
      <c r="I225" s="98"/>
      <c r="J225" s="99"/>
      <c r="K225" s="99"/>
      <c r="L225" s="99"/>
    </row>
    <row r="226" spans="2:12">
      <c r="B226"/>
      <c r="C226" s="98"/>
      <c r="D226" s="98"/>
      <c r="E226" s="98"/>
      <c r="F226" s="98"/>
      <c r="G226" s="98"/>
      <c r="H226" s="98"/>
      <c r="I226" s="98"/>
      <c r="J226" s="99"/>
      <c r="K226" s="99"/>
      <c r="L226" s="99"/>
    </row>
    <row r="227" spans="2:12">
      <c r="B227"/>
      <c r="C227" s="98"/>
      <c r="D227" s="98"/>
      <c r="E227" s="98"/>
      <c r="F227" s="98"/>
      <c r="G227" s="98"/>
      <c r="H227" s="98"/>
      <c r="I227" s="98"/>
      <c r="J227" s="99"/>
      <c r="K227" s="99"/>
      <c r="L227" s="99"/>
    </row>
    <row r="228" spans="2:12">
      <c r="B228"/>
      <c r="C228" s="98" t="s">
        <v>240</v>
      </c>
      <c r="D228" s="98"/>
      <c r="E228" s="98"/>
      <c r="F228" s="98"/>
      <c r="G228" s="98"/>
      <c r="H228" s="98"/>
      <c r="I228" s="98"/>
      <c r="J228" s="99"/>
      <c r="K228" s="99"/>
      <c r="L228" s="99"/>
    </row>
    <row r="229" spans="2:12">
      <c r="B229"/>
      <c r="C229" s="98">
        <v>9600063566</v>
      </c>
      <c r="D229" s="105">
        <v>126822.98</v>
      </c>
      <c r="E229" s="98"/>
      <c r="F229" s="98"/>
      <c r="G229" s="106">
        <v>40973</v>
      </c>
      <c r="H229" s="98"/>
      <c r="I229" s="105">
        <f>+D229*H230</f>
        <v>339378.29447999998</v>
      </c>
      <c r="J229" s="99"/>
      <c r="K229" s="99"/>
      <c r="L229" s="99"/>
    </row>
    <row r="230" spans="2:12">
      <c r="B230"/>
      <c r="C230" s="108">
        <v>41036</v>
      </c>
      <c r="D230" s="102">
        <v>10831.93</v>
      </c>
      <c r="E230" s="102">
        <v>1879.66</v>
      </c>
      <c r="F230" s="102">
        <v>1.5</v>
      </c>
      <c r="G230" s="102">
        <f>SUM(D230:F230)</f>
        <v>12713.09</v>
      </c>
      <c r="H230" s="102">
        <v>2.6760000000000002</v>
      </c>
      <c r="I230" s="102">
        <f>+D230*H230</f>
        <v>28986.244680000003</v>
      </c>
      <c r="J230" s="103">
        <f>+E230*H230</f>
        <v>5029.9701600000008</v>
      </c>
      <c r="K230" s="103">
        <f>+F230*H230</f>
        <v>4.0140000000000002</v>
      </c>
      <c r="L230" s="104"/>
    </row>
    <row r="231" spans="2:12">
      <c r="B231"/>
      <c r="C231" s="108">
        <v>41065</v>
      </c>
      <c r="D231" s="102">
        <v>11154.71</v>
      </c>
      <c r="E231" s="102">
        <v>1556.88</v>
      </c>
      <c r="F231" s="102">
        <v>1.5</v>
      </c>
      <c r="G231" s="102">
        <f t="shared" ref="G231:G254" si="19">SUM(D231:F231)</f>
        <v>12713.09</v>
      </c>
      <c r="H231" s="102">
        <v>2.6760000000000002</v>
      </c>
      <c r="I231" s="102">
        <f t="shared" ref="I231:I254" si="20">+D231*H231</f>
        <v>29850.003959999998</v>
      </c>
      <c r="J231" s="103">
        <f t="shared" ref="J231:J254" si="21">+E231*H231</f>
        <v>4166.2108800000005</v>
      </c>
      <c r="K231" s="103">
        <f t="shared" ref="K231:K254" si="22">+F231*H231</f>
        <v>4.0140000000000002</v>
      </c>
      <c r="L231" s="104"/>
    </row>
    <row r="232" spans="2:12">
      <c r="B232"/>
      <c r="C232" s="108">
        <v>41096</v>
      </c>
      <c r="D232" s="102">
        <f>11255.58</f>
        <v>11255.58</v>
      </c>
      <c r="E232" s="102">
        <f>1349.24+5.8+1.71+106.77</f>
        <v>1463.52</v>
      </c>
      <c r="F232" s="102">
        <f>50+1.5</f>
        <v>51.5</v>
      </c>
      <c r="G232" s="102">
        <f t="shared" si="19"/>
        <v>12770.6</v>
      </c>
      <c r="H232" s="102">
        <v>2.6760000000000002</v>
      </c>
      <c r="I232" s="102">
        <f t="shared" si="20"/>
        <v>30119.932080000002</v>
      </c>
      <c r="J232" s="103">
        <f t="shared" si="21"/>
        <v>3916.37952</v>
      </c>
      <c r="K232" s="103">
        <f t="shared" si="22"/>
        <v>137.81400000000002</v>
      </c>
      <c r="L232" s="104"/>
    </row>
    <row r="233" spans="2:12">
      <c r="B233"/>
      <c r="C233" s="108">
        <v>41127</v>
      </c>
      <c r="D233" s="102">
        <v>11052.2</v>
      </c>
      <c r="E233" s="102">
        <v>1355.21</v>
      </c>
      <c r="F233" s="102">
        <v>1.5</v>
      </c>
      <c r="G233" s="102">
        <f t="shared" si="19"/>
        <v>12408.91</v>
      </c>
      <c r="H233" s="102">
        <v>2.6760000000000002</v>
      </c>
      <c r="I233" s="102">
        <f t="shared" si="20"/>
        <v>29575.687200000004</v>
      </c>
      <c r="J233" s="103">
        <f t="shared" si="21"/>
        <v>3626.5419600000005</v>
      </c>
      <c r="K233" s="103">
        <f t="shared" si="22"/>
        <v>4.0140000000000002</v>
      </c>
      <c r="L233" s="104"/>
    </row>
    <row r="234" spans="2:12">
      <c r="B234"/>
      <c r="C234" s="108">
        <v>41128</v>
      </c>
      <c r="D234" s="102">
        <v>132.38</v>
      </c>
      <c r="E234" s="102">
        <f>0.05+0.02</f>
        <v>7.0000000000000007E-2</v>
      </c>
      <c r="F234" s="102">
        <v>50</v>
      </c>
      <c r="G234" s="102">
        <f t="shared" si="19"/>
        <v>182.45</v>
      </c>
      <c r="H234" s="102">
        <v>2.6760000000000002</v>
      </c>
      <c r="I234" s="102">
        <f t="shared" si="20"/>
        <v>354.24887999999999</v>
      </c>
      <c r="J234" s="103">
        <f t="shared" si="21"/>
        <v>0.18732000000000004</v>
      </c>
      <c r="K234" s="103">
        <f t="shared" si="22"/>
        <v>133.80000000000001</v>
      </c>
      <c r="L234" s="104"/>
    </row>
    <row r="235" spans="2:12">
      <c r="B235"/>
      <c r="C235" s="108">
        <v>41157</v>
      </c>
      <c r="D235" s="102">
        <v>362.57</v>
      </c>
      <c r="E235" s="102"/>
      <c r="F235" s="102">
        <v>1.5</v>
      </c>
      <c r="G235" s="102">
        <f t="shared" si="19"/>
        <v>364.07</v>
      </c>
      <c r="H235" s="102">
        <v>2.6760000000000002</v>
      </c>
      <c r="I235" s="102">
        <f t="shared" si="20"/>
        <v>970.23732000000007</v>
      </c>
      <c r="J235" s="103">
        <f t="shared" si="21"/>
        <v>0</v>
      </c>
      <c r="K235" s="103">
        <f t="shared" si="22"/>
        <v>4.0140000000000002</v>
      </c>
      <c r="L235" s="104"/>
    </row>
    <row r="236" spans="2:12">
      <c r="B236"/>
      <c r="C236" s="108">
        <v>41166</v>
      </c>
      <c r="D236" s="102">
        <v>7048.46</v>
      </c>
      <c r="E236" s="102">
        <f>5.3+1.91</f>
        <v>7.21</v>
      </c>
      <c r="F236" s="102"/>
      <c r="G236" s="102">
        <f t="shared" si="19"/>
        <v>7055.67</v>
      </c>
      <c r="H236" s="102">
        <v>2.6760000000000002</v>
      </c>
      <c r="I236" s="102">
        <f t="shared" si="20"/>
        <v>18861.678960000001</v>
      </c>
      <c r="J236" s="103">
        <f t="shared" si="21"/>
        <v>19.293960000000002</v>
      </c>
      <c r="K236" s="103">
        <f t="shared" si="22"/>
        <v>0</v>
      </c>
      <c r="L236" s="104"/>
    </row>
    <row r="237" spans="2:12">
      <c r="B237"/>
      <c r="C237" s="108">
        <v>41164</v>
      </c>
      <c r="D237" s="102">
        <v>4334.26</v>
      </c>
      <c r="E237" s="102">
        <f>572.43+31.52+11.34</f>
        <v>615.29</v>
      </c>
      <c r="F237" s="102">
        <v>50</v>
      </c>
      <c r="G237" s="102">
        <f t="shared" si="19"/>
        <v>4999.55</v>
      </c>
      <c r="H237" s="102">
        <v>2.6760000000000002</v>
      </c>
      <c r="I237" s="102">
        <f t="shared" si="20"/>
        <v>11598.479760000002</v>
      </c>
      <c r="J237" s="103">
        <f t="shared" si="21"/>
        <v>1646.51604</v>
      </c>
      <c r="K237" s="103">
        <f t="shared" si="22"/>
        <v>133.80000000000001</v>
      </c>
      <c r="L237" s="104"/>
    </row>
    <row r="238" spans="2:12">
      <c r="B238"/>
      <c r="C238" s="108">
        <v>41187</v>
      </c>
      <c r="D238" s="102">
        <v>11511.89</v>
      </c>
      <c r="E238" s="102">
        <v>805.83</v>
      </c>
      <c r="F238" s="102">
        <v>1.5</v>
      </c>
      <c r="G238" s="102">
        <f t="shared" si="19"/>
        <v>12319.22</v>
      </c>
      <c r="H238" s="102">
        <v>2.6760000000000002</v>
      </c>
      <c r="I238" s="102">
        <f t="shared" si="20"/>
        <v>30805.817640000001</v>
      </c>
      <c r="J238" s="103">
        <f t="shared" si="21"/>
        <v>2156.4010800000001</v>
      </c>
      <c r="K238" s="103">
        <f t="shared" si="22"/>
        <v>4.0140000000000002</v>
      </c>
      <c r="L238" s="104"/>
    </row>
    <row r="239" spans="2:12">
      <c r="B239"/>
      <c r="C239" s="108">
        <v>41218</v>
      </c>
      <c r="D239" s="102"/>
      <c r="E239" s="102">
        <v>20.61</v>
      </c>
      <c r="F239" s="102">
        <v>1.5</v>
      </c>
      <c r="G239" s="102">
        <f t="shared" si="19"/>
        <v>22.11</v>
      </c>
      <c r="H239" s="102">
        <v>2.6760000000000002</v>
      </c>
      <c r="I239" s="102">
        <f t="shared" si="20"/>
        <v>0</v>
      </c>
      <c r="J239" s="103">
        <f t="shared" si="21"/>
        <v>55.152360000000002</v>
      </c>
      <c r="K239" s="103">
        <f t="shared" si="22"/>
        <v>4.0140000000000002</v>
      </c>
      <c r="L239" s="104"/>
    </row>
    <row r="240" spans="2:12">
      <c r="B240"/>
      <c r="C240" s="108">
        <v>41219</v>
      </c>
      <c r="D240" s="102">
        <v>4266.04</v>
      </c>
      <c r="E240" s="102">
        <f>677.23+4.62+1.66</f>
        <v>683.51</v>
      </c>
      <c r="F240" s="102">
        <v>50</v>
      </c>
      <c r="G240" s="102">
        <f t="shared" si="19"/>
        <v>4999.55</v>
      </c>
      <c r="H240" s="102">
        <v>2.6760000000000002</v>
      </c>
      <c r="I240" s="102">
        <f t="shared" si="20"/>
        <v>11415.92304</v>
      </c>
      <c r="J240" s="103">
        <f t="shared" si="21"/>
        <v>1829.07276</v>
      </c>
      <c r="K240" s="103">
        <f t="shared" si="22"/>
        <v>133.80000000000001</v>
      </c>
      <c r="L240" s="104"/>
    </row>
    <row r="241" spans="2:12">
      <c r="B241"/>
      <c r="C241" s="108">
        <v>41222</v>
      </c>
      <c r="D241" s="102">
        <v>3688.71</v>
      </c>
      <c r="E241" s="102">
        <f>8.3+2.99</f>
        <v>11.290000000000001</v>
      </c>
      <c r="F241" s="102"/>
      <c r="G241" s="102">
        <f t="shared" si="19"/>
        <v>3700</v>
      </c>
      <c r="H241" s="102">
        <v>2.6760000000000002</v>
      </c>
      <c r="I241" s="102">
        <f t="shared" si="20"/>
        <v>9870.9879600000004</v>
      </c>
      <c r="J241" s="103">
        <f t="shared" si="21"/>
        <v>30.212040000000005</v>
      </c>
      <c r="K241" s="103">
        <f>+F241*H241</f>
        <v>0</v>
      </c>
      <c r="L241" s="104"/>
    </row>
    <row r="242" spans="2:12">
      <c r="B242"/>
      <c r="C242" s="108">
        <v>41227</v>
      </c>
      <c r="D242" s="102">
        <v>3665.13</v>
      </c>
      <c r="E242" s="102">
        <f>6.9+2.48</f>
        <v>9.3800000000000008</v>
      </c>
      <c r="F242" s="102"/>
      <c r="G242" s="102">
        <f t="shared" si="19"/>
        <v>3674.51</v>
      </c>
      <c r="H242" s="102">
        <v>2.6760000000000002</v>
      </c>
      <c r="I242" s="102">
        <f t="shared" si="20"/>
        <v>9807.8878800000002</v>
      </c>
      <c r="J242" s="103">
        <f t="shared" si="21"/>
        <v>25.100880000000004</v>
      </c>
      <c r="K242" s="103">
        <f t="shared" si="22"/>
        <v>0</v>
      </c>
      <c r="L242" s="104"/>
    </row>
    <row r="243" spans="2:12">
      <c r="B243"/>
      <c r="C243" s="108">
        <v>41248</v>
      </c>
      <c r="D243" s="102">
        <v>128.53</v>
      </c>
      <c r="E243" s="102"/>
      <c r="F243" s="102"/>
      <c r="G243" s="102">
        <f t="shared" si="19"/>
        <v>128.53</v>
      </c>
      <c r="H243" s="102">
        <v>2.6760000000000002</v>
      </c>
      <c r="I243" s="102">
        <f t="shared" si="20"/>
        <v>343.94628</v>
      </c>
      <c r="J243" s="103">
        <f t="shared" si="21"/>
        <v>0</v>
      </c>
      <c r="K243" s="103">
        <f t="shared" si="22"/>
        <v>0</v>
      </c>
      <c r="L243" s="104"/>
    </row>
    <row r="244" spans="2:12">
      <c r="B244"/>
      <c r="C244" s="108">
        <v>41254</v>
      </c>
      <c r="D244" s="102">
        <v>2996.75</v>
      </c>
      <c r="E244" s="102"/>
      <c r="F244" s="102"/>
      <c r="G244" s="102">
        <f t="shared" si="19"/>
        <v>2996.75</v>
      </c>
      <c r="H244" s="102">
        <v>2.6760000000000002</v>
      </c>
      <c r="I244" s="102">
        <f t="shared" si="20"/>
        <v>8019.3030000000008</v>
      </c>
      <c r="J244" s="103">
        <f t="shared" si="21"/>
        <v>0</v>
      </c>
      <c r="K244" s="103">
        <f t="shared" si="22"/>
        <v>0</v>
      </c>
      <c r="L244" s="104"/>
    </row>
    <row r="245" spans="2:12">
      <c r="B245"/>
      <c r="C245" s="108">
        <v>41255</v>
      </c>
      <c r="D245" s="102">
        <f>9286.15-905.2-1.5</f>
        <v>8379.4499999999989</v>
      </c>
      <c r="E245" s="102">
        <v>905.2</v>
      </c>
      <c r="F245" s="102">
        <v>1.5</v>
      </c>
      <c r="G245" s="102">
        <f t="shared" si="19"/>
        <v>9286.15</v>
      </c>
      <c r="H245" s="102">
        <v>2.6760000000000002</v>
      </c>
      <c r="I245" s="102">
        <f t="shared" si="20"/>
        <v>22423.408199999998</v>
      </c>
      <c r="J245" s="103">
        <f t="shared" si="21"/>
        <v>2422.3152000000005</v>
      </c>
      <c r="K245" s="103">
        <f t="shared" si="22"/>
        <v>4.0140000000000002</v>
      </c>
      <c r="L245" s="104"/>
    </row>
    <row r="246" spans="2:12">
      <c r="B246"/>
      <c r="C246" s="109">
        <v>41288</v>
      </c>
      <c r="D246" s="110">
        <v>6822.18</v>
      </c>
      <c r="E246" s="110">
        <f>15.25+5.49</f>
        <v>20.740000000000002</v>
      </c>
      <c r="F246" s="110"/>
      <c r="G246" s="110">
        <f t="shared" si="19"/>
        <v>6842.92</v>
      </c>
      <c r="H246" s="110">
        <v>2.6760000000000002</v>
      </c>
      <c r="I246" s="110">
        <f t="shared" si="20"/>
        <v>18256.153680000003</v>
      </c>
      <c r="J246" s="110">
        <f t="shared" si="21"/>
        <v>55.500240000000005</v>
      </c>
      <c r="K246" s="110">
        <f t="shared" si="22"/>
        <v>0</v>
      </c>
      <c r="L246" s="104"/>
    </row>
    <row r="247" spans="2:12">
      <c r="B247"/>
      <c r="C247" s="109">
        <v>41284</v>
      </c>
      <c r="D247" s="110">
        <v>269.79000000000002</v>
      </c>
      <c r="E247" s="110">
        <f>11.74+4.23</f>
        <v>15.97</v>
      </c>
      <c r="F247" s="110">
        <v>50</v>
      </c>
      <c r="G247" s="110">
        <f t="shared" si="19"/>
        <v>335.76000000000005</v>
      </c>
      <c r="H247" s="110">
        <v>2.6760000000000002</v>
      </c>
      <c r="I247" s="110">
        <f t="shared" si="20"/>
        <v>721.9580400000001</v>
      </c>
      <c r="J247" s="110">
        <f t="shared" si="21"/>
        <v>42.735720000000008</v>
      </c>
      <c r="K247" s="110">
        <f t="shared" si="22"/>
        <v>133.80000000000001</v>
      </c>
      <c r="L247" s="104"/>
    </row>
    <row r="248" spans="2:12">
      <c r="B248"/>
      <c r="C248" s="109">
        <v>41281</v>
      </c>
      <c r="D248" s="110">
        <v>1469.56</v>
      </c>
      <c r="E248" s="110">
        <v>450.96</v>
      </c>
      <c r="F248" s="110">
        <v>1.5</v>
      </c>
      <c r="G248" s="110">
        <f t="shared" si="19"/>
        <v>1922.02</v>
      </c>
      <c r="H248" s="110">
        <v>2.6760000000000002</v>
      </c>
      <c r="I248" s="110">
        <f t="shared" si="20"/>
        <v>3932.5425599999999</v>
      </c>
      <c r="J248" s="110">
        <f t="shared" si="21"/>
        <v>1206.7689600000001</v>
      </c>
      <c r="K248" s="110">
        <f t="shared" si="22"/>
        <v>4.0140000000000002</v>
      </c>
      <c r="L248" s="104"/>
    </row>
    <row r="249" spans="2:12">
      <c r="B249"/>
      <c r="C249" s="109">
        <v>41295</v>
      </c>
      <c r="D249" s="110">
        <v>2944.96</v>
      </c>
      <c r="E249" s="110"/>
      <c r="F249" s="110"/>
      <c r="G249" s="110">
        <f t="shared" si="19"/>
        <v>2944.96</v>
      </c>
      <c r="H249" s="110">
        <v>2.6760000000000002</v>
      </c>
      <c r="I249" s="110">
        <f t="shared" si="20"/>
        <v>7880.7129600000007</v>
      </c>
      <c r="J249" s="110">
        <f t="shared" si="21"/>
        <v>0</v>
      </c>
      <c r="K249" s="110">
        <f t="shared" si="22"/>
        <v>0</v>
      </c>
      <c r="L249" s="104"/>
    </row>
    <row r="250" spans="2:12">
      <c r="B250"/>
      <c r="C250" s="109">
        <v>41310</v>
      </c>
      <c r="D250" s="110">
        <v>12319.22</v>
      </c>
      <c r="E250" s="110"/>
      <c r="F250" s="110"/>
      <c r="G250" s="110">
        <f t="shared" si="19"/>
        <v>12319.22</v>
      </c>
      <c r="H250" s="110">
        <v>2.6760000000000002</v>
      </c>
      <c r="I250" s="110">
        <f t="shared" si="20"/>
        <v>32966.23272</v>
      </c>
      <c r="J250" s="110">
        <f t="shared" si="21"/>
        <v>0</v>
      </c>
      <c r="K250" s="110">
        <f t="shared" si="22"/>
        <v>0</v>
      </c>
      <c r="L250" s="104"/>
    </row>
    <row r="251" spans="2:12">
      <c r="B251"/>
      <c r="C251" s="109">
        <v>41340</v>
      </c>
      <c r="D251" s="110">
        <f>12188.68</f>
        <v>12188.68</v>
      </c>
      <c r="E251" s="110">
        <f>83.33+9.23+3.32</f>
        <v>95.88</v>
      </c>
      <c r="F251" s="110">
        <v>50</v>
      </c>
      <c r="G251" s="110">
        <f t="shared" si="19"/>
        <v>12334.56</v>
      </c>
      <c r="H251" s="110">
        <v>2.6760000000000002</v>
      </c>
      <c r="I251" s="110">
        <f t="shared" si="20"/>
        <v>32616.907680000004</v>
      </c>
      <c r="J251" s="110">
        <f t="shared" si="21"/>
        <v>256.57488000000001</v>
      </c>
      <c r="K251" s="110">
        <f t="shared" si="22"/>
        <v>133.80000000000001</v>
      </c>
      <c r="L251" s="104"/>
    </row>
    <row r="252" spans="2:12">
      <c r="B252"/>
      <c r="C252" s="109">
        <v>41338</v>
      </c>
      <c r="D252" s="110"/>
      <c r="E252" s="110">
        <v>45.71</v>
      </c>
      <c r="F252" s="110">
        <v>1.5</v>
      </c>
      <c r="G252" s="110">
        <f t="shared" si="19"/>
        <v>47.21</v>
      </c>
      <c r="H252" s="110">
        <v>2.6760000000000002</v>
      </c>
      <c r="I252" s="110">
        <f t="shared" si="20"/>
        <v>0</v>
      </c>
      <c r="J252" s="110">
        <f t="shared" si="21"/>
        <v>122.31996000000001</v>
      </c>
      <c r="K252" s="110">
        <f t="shared" si="22"/>
        <v>4.0140000000000002</v>
      </c>
      <c r="L252" s="104"/>
    </row>
    <row r="253" spans="2:12">
      <c r="B253"/>
      <c r="C253" s="107"/>
      <c r="D253" s="114">
        <f>SUM(D230:D252)</f>
        <v>126822.97999999998</v>
      </c>
      <c r="E253" s="114">
        <f>SUM(E230:E252)</f>
        <v>9942.9199999999964</v>
      </c>
      <c r="F253" s="114">
        <f>SUM(F230:F252)</f>
        <v>315</v>
      </c>
      <c r="G253" s="102">
        <f t="shared" si="19"/>
        <v>137080.89999999997</v>
      </c>
      <c r="H253" s="102">
        <v>2.6760000000000002</v>
      </c>
      <c r="I253" s="114">
        <f t="shared" si="20"/>
        <v>339378.29447999998</v>
      </c>
      <c r="J253" s="50">
        <f t="shared" si="21"/>
        <v>26607.253919999992</v>
      </c>
      <c r="K253" s="50">
        <f t="shared" si="22"/>
        <v>842.94</v>
      </c>
      <c r="L253" s="99"/>
    </row>
    <row r="254" spans="2:12">
      <c r="B254"/>
      <c r="C254" s="107"/>
      <c r="D254" s="102">
        <f>+D253-D229</f>
        <v>0</v>
      </c>
      <c r="E254" s="107"/>
      <c r="F254" s="107"/>
      <c r="G254" s="102">
        <f t="shared" si="19"/>
        <v>0</v>
      </c>
      <c r="H254" s="102"/>
      <c r="I254" s="102">
        <f t="shared" si="20"/>
        <v>0</v>
      </c>
      <c r="J254" s="103">
        <f t="shared" si="21"/>
        <v>0</v>
      </c>
      <c r="K254" s="103">
        <f t="shared" si="22"/>
        <v>0</v>
      </c>
      <c r="L254" s="99"/>
    </row>
    <row r="255" spans="2:12">
      <c r="B255"/>
      <c r="C255" s="98"/>
      <c r="D255" s="98"/>
      <c r="E255" s="98"/>
      <c r="F255" s="98"/>
      <c r="G255" s="98"/>
      <c r="H255" s="98"/>
      <c r="I255" s="98"/>
      <c r="J255" s="99"/>
      <c r="K255" s="99"/>
      <c r="L255" s="99"/>
    </row>
    <row r="256" spans="2:12">
      <c r="B256"/>
      <c r="C256" s="98"/>
      <c r="D256" s="98">
        <f>2038.26/2</f>
        <v>1019.13</v>
      </c>
      <c r="E256" s="98"/>
      <c r="F256" s="98"/>
      <c r="G256" s="98"/>
      <c r="H256" s="98"/>
      <c r="I256" s="98"/>
      <c r="J256" s="99"/>
      <c r="K256" s="99"/>
      <c r="L256" s="99"/>
    </row>
    <row r="257" spans="2:12">
      <c r="B257"/>
      <c r="C257" s="98" t="s">
        <v>240</v>
      </c>
      <c r="D257" s="98"/>
      <c r="E257" s="98"/>
      <c r="F257" s="98"/>
      <c r="G257" s="98"/>
      <c r="H257" s="98"/>
      <c r="I257" s="98"/>
      <c r="J257" s="99"/>
      <c r="K257" s="99"/>
      <c r="L257" s="99"/>
    </row>
    <row r="258" spans="2:12">
      <c r="B258"/>
      <c r="C258" s="98">
        <v>9600063612</v>
      </c>
      <c r="D258" s="143">
        <v>76076.600000000006</v>
      </c>
      <c r="E258" s="98"/>
      <c r="F258" s="98"/>
      <c r="G258" s="144">
        <v>40974</v>
      </c>
      <c r="H258" s="98"/>
      <c r="I258" s="143">
        <f>+H259*D258</f>
        <v>201222.60700000002</v>
      </c>
      <c r="J258" s="143">
        <v>16915.669999999998</v>
      </c>
      <c r="K258" s="143">
        <v>556.77</v>
      </c>
      <c r="L258" s="99"/>
    </row>
    <row r="259" spans="2:12">
      <c r="B259"/>
      <c r="C259" s="108">
        <v>41036</v>
      </c>
      <c r="D259" s="102">
        <v>2446.15</v>
      </c>
      <c r="E259" s="107">
        <v>1092.06</v>
      </c>
      <c r="F259" s="107">
        <v>1.5</v>
      </c>
      <c r="G259" s="102">
        <f>SUM(D259:F259)</f>
        <v>3539.71</v>
      </c>
      <c r="H259" s="107">
        <v>2.645</v>
      </c>
      <c r="I259" s="102">
        <f>+D259*H259</f>
        <v>6470.06675</v>
      </c>
      <c r="J259" s="103">
        <f>+E259*H259</f>
        <v>2888.4987000000001</v>
      </c>
      <c r="K259" s="103">
        <f>+F259*H259</f>
        <v>3.9675000000000002</v>
      </c>
      <c r="L259" s="104"/>
    </row>
    <row r="260" spans="2:12">
      <c r="B260"/>
      <c r="C260" s="108">
        <v>41039</v>
      </c>
      <c r="D260" s="102">
        <v>2945.64</v>
      </c>
      <c r="E260" s="107">
        <f>50+5.49+1.62</f>
        <v>57.11</v>
      </c>
      <c r="F260" s="107"/>
      <c r="G260" s="102">
        <f t="shared" ref="G260:G275" si="23">SUM(D260:F260)</f>
        <v>3002.75</v>
      </c>
      <c r="H260" s="107">
        <v>2.645</v>
      </c>
      <c r="I260" s="102">
        <f t="shared" ref="I260:I269" si="24">+D260*H260</f>
        <v>7791.2177999999994</v>
      </c>
      <c r="J260" s="103">
        <f t="shared" ref="J260:J275" si="25">+E260*H260</f>
        <v>151.05595</v>
      </c>
      <c r="K260" s="103">
        <f t="shared" ref="K260:K275" si="26">+F260*H260</f>
        <v>0</v>
      </c>
      <c r="L260" s="104"/>
    </row>
    <row r="261" spans="2:12">
      <c r="B261"/>
      <c r="C261" s="108">
        <v>41040</v>
      </c>
      <c r="D261" s="102">
        <v>1036.45</v>
      </c>
      <c r="E261" s="107">
        <f>0.48+0.14</f>
        <v>0.62</v>
      </c>
      <c r="F261" s="107"/>
      <c r="G261" s="102">
        <f t="shared" si="23"/>
        <v>1037.07</v>
      </c>
      <c r="H261" s="107">
        <v>2.645</v>
      </c>
      <c r="I261" s="102">
        <f t="shared" si="24"/>
        <v>2741.4102500000004</v>
      </c>
      <c r="J261" s="103">
        <f t="shared" si="25"/>
        <v>1.6398999999999999</v>
      </c>
      <c r="K261" s="103">
        <f t="shared" si="26"/>
        <v>0</v>
      </c>
      <c r="L261" s="104"/>
    </row>
    <row r="262" spans="2:12">
      <c r="B262"/>
      <c r="C262" s="108">
        <v>41066</v>
      </c>
      <c r="D262" s="102">
        <v>6546.95</v>
      </c>
      <c r="E262" s="107">
        <v>967.35</v>
      </c>
      <c r="F262" s="107">
        <v>1.5</v>
      </c>
      <c r="G262" s="102">
        <f t="shared" si="23"/>
        <v>7515.8</v>
      </c>
      <c r="H262" s="107">
        <v>2.645</v>
      </c>
      <c r="I262" s="102">
        <f t="shared" si="24"/>
        <v>17316.68275</v>
      </c>
      <c r="J262" s="103">
        <f t="shared" si="25"/>
        <v>2558.64075</v>
      </c>
      <c r="K262" s="103">
        <f t="shared" si="26"/>
        <v>3.9675000000000002</v>
      </c>
      <c r="L262" s="104"/>
    </row>
    <row r="263" spans="2:12">
      <c r="B263"/>
      <c r="C263" s="108">
        <v>41096</v>
      </c>
      <c r="D263" s="102">
        <v>2958.24</v>
      </c>
      <c r="E263" s="107">
        <v>876.38</v>
      </c>
      <c r="F263" s="107">
        <v>1.5</v>
      </c>
      <c r="G263" s="102">
        <f t="shared" si="23"/>
        <v>3836.12</v>
      </c>
      <c r="H263" s="107">
        <v>2.645</v>
      </c>
      <c r="I263" s="102">
        <f t="shared" si="24"/>
        <v>7824.5447999999997</v>
      </c>
      <c r="J263" s="103">
        <f t="shared" si="25"/>
        <v>2318.0250999999998</v>
      </c>
      <c r="K263" s="103">
        <f t="shared" si="26"/>
        <v>3.9675000000000002</v>
      </c>
      <c r="L263" s="104"/>
    </row>
    <row r="264" spans="2:12">
      <c r="B264"/>
      <c r="C264" s="108">
        <v>41099</v>
      </c>
      <c r="D264" s="102">
        <v>2393.2199999999998</v>
      </c>
      <c r="E264" s="107">
        <f>5.08+1.5</f>
        <v>6.58</v>
      </c>
      <c r="F264" s="107">
        <v>50</v>
      </c>
      <c r="G264" s="102">
        <f t="shared" si="23"/>
        <v>2449.7999999999997</v>
      </c>
      <c r="H264" s="107">
        <v>2.645</v>
      </c>
      <c r="I264" s="102">
        <f t="shared" si="24"/>
        <v>6330.0668999999998</v>
      </c>
      <c r="J264" s="103">
        <f t="shared" si="25"/>
        <v>17.4041</v>
      </c>
      <c r="K264" s="103">
        <f t="shared" si="26"/>
        <v>132.25</v>
      </c>
      <c r="L264" s="104"/>
    </row>
    <row r="265" spans="2:12">
      <c r="B265"/>
      <c r="C265" s="108">
        <v>41103</v>
      </c>
      <c r="D265" s="102">
        <v>1289.46</v>
      </c>
      <c r="E265" s="107">
        <f>2.37+0.7</f>
        <v>3.0700000000000003</v>
      </c>
      <c r="F265" s="107"/>
      <c r="G265" s="102">
        <f t="shared" si="23"/>
        <v>1292.53</v>
      </c>
      <c r="H265" s="107">
        <v>2.645</v>
      </c>
      <c r="I265" s="102">
        <f t="shared" si="24"/>
        <v>3410.6217000000001</v>
      </c>
      <c r="J265" s="103">
        <f t="shared" si="25"/>
        <v>8.1201500000000006</v>
      </c>
      <c r="K265" s="103">
        <f t="shared" si="26"/>
        <v>0</v>
      </c>
      <c r="L265" s="104"/>
    </row>
    <row r="266" spans="2:12">
      <c r="B266"/>
      <c r="C266" s="108">
        <v>41128</v>
      </c>
      <c r="D266" s="102">
        <v>150.80000000000001</v>
      </c>
      <c r="E266" s="107">
        <f>791.32+2.85+1.03</f>
        <v>795.2</v>
      </c>
      <c r="F266" s="107">
        <f>1.5+50</f>
        <v>51.5</v>
      </c>
      <c r="G266" s="102">
        <f t="shared" si="23"/>
        <v>997.5</v>
      </c>
      <c r="H266" s="107">
        <v>2.645</v>
      </c>
      <c r="I266" s="102">
        <f t="shared" si="24"/>
        <v>398.86600000000004</v>
      </c>
      <c r="J266" s="103">
        <f t="shared" si="25"/>
        <v>2103.3040000000001</v>
      </c>
      <c r="K266" s="103">
        <f t="shared" si="26"/>
        <v>136.2175</v>
      </c>
      <c r="L266" s="104"/>
    </row>
    <row r="267" spans="2:12">
      <c r="B267"/>
      <c r="C267" s="108">
        <v>41129</v>
      </c>
      <c r="D267" s="102">
        <v>6619.09</v>
      </c>
      <c r="E267" s="107">
        <f>2.49+0.9</f>
        <v>3.39</v>
      </c>
      <c r="F267" s="107"/>
      <c r="G267" s="102">
        <f t="shared" si="23"/>
        <v>6622.4800000000005</v>
      </c>
      <c r="H267" s="107">
        <v>2.645</v>
      </c>
      <c r="I267" s="102">
        <f t="shared" si="24"/>
        <v>17507.493050000001</v>
      </c>
      <c r="J267" s="103">
        <f t="shared" si="25"/>
        <v>8.9665499999999998</v>
      </c>
      <c r="K267" s="103">
        <f t="shared" si="26"/>
        <v>0</v>
      </c>
      <c r="L267" s="104"/>
    </row>
    <row r="268" spans="2:12">
      <c r="B268"/>
      <c r="C268" s="108">
        <v>41169</v>
      </c>
      <c r="D268" s="102">
        <v>3387.59</v>
      </c>
      <c r="E268" s="107">
        <f>3.82+1.38</f>
        <v>5.1999999999999993</v>
      </c>
      <c r="F268" s="107"/>
      <c r="G268" s="102">
        <f t="shared" si="23"/>
        <v>3392.79</v>
      </c>
      <c r="H268" s="107">
        <v>2.645</v>
      </c>
      <c r="I268" s="102">
        <f t="shared" si="24"/>
        <v>8960.1755499999999</v>
      </c>
      <c r="J268" s="103">
        <f t="shared" si="25"/>
        <v>13.753999999999998</v>
      </c>
      <c r="K268" s="103">
        <f t="shared" si="26"/>
        <v>0</v>
      </c>
      <c r="L268" s="104"/>
    </row>
    <row r="269" spans="2:12">
      <c r="B269"/>
      <c r="C269" s="108">
        <v>41166</v>
      </c>
      <c r="D269" s="102">
        <v>3461.69</v>
      </c>
      <c r="E269" s="107">
        <f>582.78+22.4+8.06</f>
        <v>613.2399999999999</v>
      </c>
      <c r="F269" s="107">
        <v>51.5</v>
      </c>
      <c r="G269" s="102">
        <f t="shared" si="23"/>
        <v>4126.43</v>
      </c>
      <c r="H269" s="107">
        <v>2.645</v>
      </c>
      <c r="I269" s="102">
        <f t="shared" si="24"/>
        <v>9156.1700500000006</v>
      </c>
      <c r="J269" s="103">
        <f t="shared" si="25"/>
        <v>1622.0197999999998</v>
      </c>
      <c r="K269" s="103">
        <f t="shared" si="26"/>
        <v>136.2175</v>
      </c>
      <c r="L269" s="104"/>
    </row>
    <row r="270" spans="2:12">
      <c r="B270"/>
      <c r="C270" s="108">
        <v>41191</v>
      </c>
      <c r="D270" s="102">
        <v>6897</v>
      </c>
      <c r="E270" s="107">
        <v>535.05999999999995</v>
      </c>
      <c r="F270" s="107">
        <v>1.5</v>
      </c>
      <c r="G270" s="102">
        <f t="shared" si="23"/>
        <v>7433.5599999999995</v>
      </c>
      <c r="H270" s="107">
        <v>2.645</v>
      </c>
      <c r="I270" s="102">
        <f t="shared" ref="I270:I275" si="27">+D270*H270</f>
        <v>18242.564999999999</v>
      </c>
      <c r="J270" s="103">
        <f t="shared" si="25"/>
        <v>1415.2336999999998</v>
      </c>
      <c r="K270" s="103">
        <f t="shared" si="26"/>
        <v>3.9675000000000002</v>
      </c>
      <c r="L270" s="104"/>
    </row>
    <row r="271" spans="2:12">
      <c r="B271"/>
      <c r="C271" s="108">
        <v>41227</v>
      </c>
      <c r="D271" s="102">
        <v>7051.51</v>
      </c>
      <c r="E271" s="107">
        <f>380.55+22.4+8.06</f>
        <v>411.01</v>
      </c>
      <c r="F271" s="107">
        <f>1.5+50</f>
        <v>51.5</v>
      </c>
      <c r="G271" s="102">
        <f t="shared" si="23"/>
        <v>7514.02</v>
      </c>
      <c r="H271" s="107">
        <v>2.645</v>
      </c>
      <c r="I271" s="102">
        <f t="shared" si="27"/>
        <v>18651.24395</v>
      </c>
      <c r="J271" s="103">
        <f t="shared" si="25"/>
        <v>1087.1214500000001</v>
      </c>
      <c r="K271" s="103">
        <f t="shared" si="26"/>
        <v>136.2175</v>
      </c>
      <c r="L271" s="99"/>
    </row>
    <row r="272" spans="2:12">
      <c r="B272"/>
      <c r="C272" s="108">
        <v>41249</v>
      </c>
      <c r="D272" s="102">
        <v>7113.98</v>
      </c>
      <c r="E272" s="107">
        <v>403.32</v>
      </c>
      <c r="F272" s="107"/>
      <c r="G272" s="102">
        <f t="shared" si="23"/>
        <v>7517.2999999999993</v>
      </c>
      <c r="H272" s="107">
        <v>2.645</v>
      </c>
      <c r="I272" s="102">
        <f t="shared" si="27"/>
        <v>18816.4771</v>
      </c>
      <c r="J272" s="103">
        <f t="shared" si="25"/>
        <v>1066.7814000000001</v>
      </c>
      <c r="K272" s="103">
        <f t="shared" si="26"/>
        <v>0</v>
      </c>
      <c r="L272" s="99"/>
    </row>
    <row r="273" spans="2:12">
      <c r="B273"/>
      <c r="C273" s="109">
        <v>41280</v>
      </c>
      <c r="D273" s="110">
        <v>7192.33</v>
      </c>
      <c r="E273" s="156">
        <v>324.97000000000003</v>
      </c>
      <c r="F273" s="156"/>
      <c r="G273" s="110">
        <f t="shared" si="23"/>
        <v>7517.3</v>
      </c>
      <c r="H273" s="156">
        <v>2.645</v>
      </c>
      <c r="I273" s="110">
        <f t="shared" si="27"/>
        <v>19023.71285</v>
      </c>
      <c r="J273" s="110">
        <f t="shared" si="25"/>
        <v>859.54565000000002</v>
      </c>
      <c r="K273" s="110">
        <f t="shared" si="26"/>
        <v>0</v>
      </c>
      <c r="L273" s="99"/>
    </row>
    <row r="274" spans="2:12">
      <c r="B274"/>
      <c r="C274" s="109">
        <v>41311</v>
      </c>
      <c r="D274" s="110">
        <v>7312.67</v>
      </c>
      <c r="E274" s="156">
        <v>204.63</v>
      </c>
      <c r="F274" s="156"/>
      <c r="G274" s="110">
        <f t="shared" si="23"/>
        <v>7517.3</v>
      </c>
      <c r="H274" s="156">
        <v>2.645</v>
      </c>
      <c r="I274" s="110">
        <f t="shared" si="27"/>
        <v>19342.012149999999</v>
      </c>
      <c r="J274" s="110">
        <f t="shared" si="25"/>
        <v>541.24635000000001</v>
      </c>
      <c r="K274" s="110">
        <f t="shared" si="26"/>
        <v>0</v>
      </c>
      <c r="L274" s="99"/>
    </row>
    <row r="275" spans="2:12">
      <c r="B275"/>
      <c r="C275" s="109">
        <v>41339</v>
      </c>
      <c r="D275" s="110">
        <f>7421.2-147.37</f>
        <v>7273.83</v>
      </c>
      <c r="E275" s="156">
        <v>96.15</v>
      </c>
      <c r="F275" s="156"/>
      <c r="G275" s="110">
        <f t="shared" si="23"/>
        <v>7369.98</v>
      </c>
      <c r="H275" s="156">
        <v>2.645</v>
      </c>
      <c r="I275" s="110">
        <f t="shared" si="27"/>
        <v>19239.280350000001</v>
      </c>
      <c r="J275" s="110">
        <f t="shared" si="25"/>
        <v>254.31675000000001</v>
      </c>
      <c r="K275" s="110">
        <f t="shared" si="26"/>
        <v>0</v>
      </c>
      <c r="L275" s="99"/>
    </row>
    <row r="276" spans="2:12">
      <c r="B276"/>
      <c r="C276" s="108"/>
      <c r="D276" s="114">
        <f>SUM(D259:D275)</f>
        <v>76076.600000000006</v>
      </c>
      <c r="E276" s="114">
        <f>SUM(E259:E275)</f>
        <v>6395.34</v>
      </c>
      <c r="F276" s="114">
        <f t="shared" ref="F276:K276" si="28">SUM(F259:F275)</f>
        <v>210.5</v>
      </c>
      <c r="G276" s="114">
        <f t="shared" si="28"/>
        <v>82682.44</v>
      </c>
      <c r="H276" s="102"/>
      <c r="I276" s="114">
        <f t="shared" si="28"/>
        <v>201222.60700000002</v>
      </c>
      <c r="J276" s="114">
        <f t="shared" si="28"/>
        <v>16915.674300000002</v>
      </c>
      <c r="K276" s="114">
        <f t="shared" si="28"/>
        <v>556.77249999999992</v>
      </c>
      <c r="L276" s="99"/>
    </row>
    <row r="277" spans="2:12">
      <c r="B277"/>
      <c r="C277" s="107"/>
      <c r="D277" s="102"/>
      <c r="E277" s="107"/>
      <c r="F277" s="107"/>
      <c r="G277" s="102"/>
      <c r="H277" s="107"/>
      <c r="I277" s="102"/>
      <c r="J277" s="103"/>
      <c r="K277" s="103"/>
      <c r="L277" s="99"/>
    </row>
    <row r="278" spans="2:12">
      <c r="B278"/>
      <c r="C278" s="107"/>
      <c r="D278" s="107"/>
      <c r="E278" s="107"/>
      <c r="F278" s="107"/>
      <c r="G278" s="102"/>
      <c r="H278" s="107"/>
      <c r="I278" s="102"/>
      <c r="J278" s="103"/>
      <c r="K278" s="103"/>
      <c r="L278" s="99"/>
    </row>
    <row r="279" spans="2:12">
      <c r="B279"/>
      <c r="C279" s="98"/>
      <c r="D279" s="98"/>
      <c r="E279" s="98"/>
      <c r="F279" s="98"/>
      <c r="G279" s="98"/>
      <c r="H279" s="98"/>
      <c r="I279" s="98"/>
      <c r="J279" s="99"/>
      <c r="K279" s="99"/>
      <c r="L279" s="99"/>
    </row>
    <row r="280" spans="2:12">
      <c r="B280"/>
      <c r="C280" s="98" t="s">
        <v>240</v>
      </c>
      <c r="D280" s="98"/>
      <c r="E280" s="98"/>
      <c r="F280" s="98"/>
      <c r="G280" s="98"/>
      <c r="H280" s="98"/>
      <c r="I280" s="98"/>
      <c r="J280" s="99"/>
      <c r="K280" s="99"/>
      <c r="L280" s="99"/>
    </row>
    <row r="281" spans="2:12">
      <c r="B281"/>
      <c r="C281" s="98">
        <v>9600068398</v>
      </c>
      <c r="D281" s="143">
        <v>100948.88</v>
      </c>
      <c r="E281" s="98"/>
      <c r="F281" s="98"/>
      <c r="G281" s="144">
        <v>41179</v>
      </c>
      <c r="H281" s="149"/>
      <c r="I281" s="143">
        <f>+D281*H283</f>
        <v>262164.24135999999</v>
      </c>
      <c r="J281" s="150"/>
      <c r="K281" s="150"/>
      <c r="L281" s="150"/>
    </row>
    <row r="282" spans="2:12">
      <c r="B282"/>
      <c r="C282" s="108">
        <v>41209</v>
      </c>
      <c r="D282" s="98"/>
      <c r="E282" s="98"/>
      <c r="F282" s="98"/>
      <c r="G282" s="98"/>
      <c r="H282" s="98"/>
      <c r="I282" s="98"/>
      <c r="J282" s="99"/>
      <c r="K282" s="99"/>
      <c r="L282" s="104"/>
    </row>
    <row r="283" spans="2:12">
      <c r="B283"/>
      <c r="C283" s="108">
        <v>41240</v>
      </c>
      <c r="D283" s="102">
        <v>12182.66</v>
      </c>
      <c r="E283" s="102">
        <v>989.97</v>
      </c>
      <c r="F283" s="102">
        <v>1.5</v>
      </c>
      <c r="G283" s="102">
        <f>SUM(D283:F283)</f>
        <v>13174.13</v>
      </c>
      <c r="H283" s="98">
        <v>2.597</v>
      </c>
      <c r="I283" s="102">
        <f t="shared" ref="I283:I291" si="29">+D283*H283</f>
        <v>31638.368019999998</v>
      </c>
      <c r="J283" s="103">
        <f t="shared" ref="J283:J291" si="30">+E283*H283</f>
        <v>2570.9520900000002</v>
      </c>
      <c r="K283" s="103">
        <f t="shared" ref="K283:K291" si="31">+F283*H283</f>
        <v>3.8955000000000002</v>
      </c>
      <c r="L283" s="103">
        <f>SUM(I283:K283)</f>
        <v>34213.215609999999</v>
      </c>
    </row>
    <row r="284" spans="2:12">
      <c r="B284"/>
      <c r="C284" s="108">
        <v>41270</v>
      </c>
      <c r="D284" s="102">
        <v>12330.35</v>
      </c>
      <c r="E284" s="102">
        <v>842.28</v>
      </c>
      <c r="F284" s="102">
        <v>1.5</v>
      </c>
      <c r="G284" s="102">
        <f t="shared" ref="G284:G291" si="32">SUM(D284:F284)</f>
        <v>13174.130000000001</v>
      </c>
      <c r="H284" s="98">
        <v>2.597</v>
      </c>
      <c r="I284" s="102">
        <f t="shared" si="29"/>
        <v>32021.918949999999</v>
      </c>
      <c r="J284" s="103">
        <f t="shared" si="30"/>
        <v>2187.4011599999999</v>
      </c>
      <c r="K284" s="103">
        <f t="shared" si="31"/>
        <v>3.8955000000000002</v>
      </c>
      <c r="L284" s="103">
        <f t="shared" ref="L284:L291" si="33">SUM(I284:K284)</f>
        <v>34213.215609999999</v>
      </c>
    </row>
    <row r="285" spans="2:12">
      <c r="B285"/>
      <c r="C285" s="109">
        <v>41302</v>
      </c>
      <c r="D285" s="110">
        <v>12398.75</v>
      </c>
      <c r="E285" s="110">
        <v>773.88</v>
      </c>
      <c r="F285" s="110">
        <v>1.5</v>
      </c>
      <c r="G285" s="110">
        <f t="shared" si="32"/>
        <v>13174.13</v>
      </c>
      <c r="H285" s="111">
        <v>2.597</v>
      </c>
      <c r="I285" s="110">
        <f t="shared" si="29"/>
        <v>32199.553749999999</v>
      </c>
      <c r="J285" s="110">
        <f t="shared" si="30"/>
        <v>2009.7663600000001</v>
      </c>
      <c r="K285" s="110">
        <f t="shared" si="31"/>
        <v>3.8955000000000002</v>
      </c>
      <c r="L285" s="110">
        <f t="shared" si="33"/>
        <v>34213.215609999999</v>
      </c>
    </row>
    <row r="286" spans="2:12">
      <c r="B286"/>
      <c r="C286" s="109">
        <v>41332</v>
      </c>
      <c r="D286" s="110">
        <v>571.11</v>
      </c>
      <c r="E286" s="110">
        <v>607.63</v>
      </c>
      <c r="F286" s="110">
        <v>1.5</v>
      </c>
      <c r="G286" s="110">
        <f t="shared" si="32"/>
        <v>1180.24</v>
      </c>
      <c r="H286" s="111">
        <v>2.597</v>
      </c>
      <c r="I286" s="110">
        <f t="shared" si="29"/>
        <v>1483.1726699999999</v>
      </c>
      <c r="J286" s="110">
        <f t="shared" si="30"/>
        <v>1578.01511</v>
      </c>
      <c r="K286" s="110">
        <f t="shared" si="31"/>
        <v>3.8955000000000002</v>
      </c>
      <c r="L286" s="110">
        <f t="shared" si="33"/>
        <v>3065.0832800000003</v>
      </c>
    </row>
    <row r="287" spans="2:12">
      <c r="B287"/>
      <c r="C287" s="109">
        <v>41333</v>
      </c>
      <c r="D287" s="110">
        <v>11993.89</v>
      </c>
      <c r="E287" s="110">
        <f>3.78+1.63</f>
        <v>5.41</v>
      </c>
      <c r="F287" s="110"/>
      <c r="G287" s="110">
        <f t="shared" si="32"/>
        <v>11999.3</v>
      </c>
      <c r="H287" s="111">
        <v>2.597</v>
      </c>
      <c r="I287" s="110">
        <f t="shared" si="29"/>
        <v>31148.132329999997</v>
      </c>
      <c r="J287" s="110">
        <f t="shared" si="30"/>
        <v>14.049770000000001</v>
      </c>
      <c r="K287" s="110">
        <f t="shared" si="31"/>
        <v>0</v>
      </c>
      <c r="L287" s="110">
        <f t="shared" si="33"/>
        <v>31162.182099999998</v>
      </c>
    </row>
    <row r="288" spans="2:12">
      <c r="B288"/>
      <c r="C288" s="109">
        <v>41360</v>
      </c>
      <c r="D288" s="110">
        <v>12716.93</v>
      </c>
      <c r="E288" s="110">
        <v>455.7</v>
      </c>
      <c r="F288" s="110">
        <v>1.5</v>
      </c>
      <c r="G288" s="110">
        <f t="shared" si="32"/>
        <v>13174.130000000001</v>
      </c>
      <c r="H288" s="111">
        <v>2.597</v>
      </c>
      <c r="I288" s="110">
        <f t="shared" si="29"/>
        <v>33025.867210000004</v>
      </c>
      <c r="J288" s="110">
        <f t="shared" si="30"/>
        <v>1183.4529</v>
      </c>
      <c r="K288" s="110">
        <f t="shared" si="31"/>
        <v>3.8955000000000002</v>
      </c>
      <c r="L288" s="110">
        <f t="shared" si="33"/>
        <v>34213.215609999999</v>
      </c>
    </row>
    <row r="289" spans="2:12">
      <c r="B289"/>
      <c r="C289" s="109">
        <v>41393</v>
      </c>
      <c r="D289" s="110">
        <v>12767.92</v>
      </c>
      <c r="E289" s="110">
        <v>404.71</v>
      </c>
      <c r="F289" s="110">
        <v>1.5</v>
      </c>
      <c r="G289" s="110">
        <f t="shared" si="32"/>
        <v>13174.13</v>
      </c>
      <c r="H289" s="111">
        <v>2.597</v>
      </c>
      <c r="I289" s="110">
        <f t="shared" si="29"/>
        <v>33158.288240000002</v>
      </c>
      <c r="J289" s="110">
        <f t="shared" si="30"/>
        <v>1051.03187</v>
      </c>
      <c r="K289" s="110">
        <f t="shared" si="31"/>
        <v>3.8955000000000002</v>
      </c>
      <c r="L289" s="110">
        <f t="shared" si="33"/>
        <v>34213.215609999999</v>
      </c>
    </row>
    <row r="290" spans="2:12">
      <c r="B290"/>
      <c r="C290" s="109">
        <v>41421</v>
      </c>
      <c r="D290" s="110">
        <v>12942.55</v>
      </c>
      <c r="E290" s="110">
        <v>230.08</v>
      </c>
      <c r="F290" s="110">
        <v>1.5</v>
      </c>
      <c r="G290" s="110">
        <f t="shared" si="32"/>
        <v>13174.13</v>
      </c>
      <c r="H290" s="111">
        <v>2.597</v>
      </c>
      <c r="I290" s="110">
        <f t="shared" si="29"/>
        <v>33611.802349999998</v>
      </c>
      <c r="J290" s="110">
        <f t="shared" si="30"/>
        <v>597.51776000000007</v>
      </c>
      <c r="K290" s="110">
        <f t="shared" si="31"/>
        <v>3.8955000000000002</v>
      </c>
      <c r="L290" s="110">
        <f t="shared" si="33"/>
        <v>34213.215609999999</v>
      </c>
    </row>
    <row r="291" spans="2:12">
      <c r="B291"/>
      <c r="C291" s="109">
        <v>41452</v>
      </c>
      <c r="D291" s="110">
        <v>13044.72</v>
      </c>
      <c r="E291" s="110">
        <v>127.92</v>
      </c>
      <c r="F291" s="110">
        <v>1.5</v>
      </c>
      <c r="G291" s="110">
        <f t="shared" si="32"/>
        <v>13174.14</v>
      </c>
      <c r="H291" s="111">
        <v>2.597</v>
      </c>
      <c r="I291" s="110">
        <f t="shared" si="29"/>
        <v>33877.137839999996</v>
      </c>
      <c r="J291" s="110">
        <f t="shared" si="30"/>
        <v>332.20823999999999</v>
      </c>
      <c r="K291" s="110">
        <f t="shared" si="31"/>
        <v>3.8955000000000002</v>
      </c>
      <c r="L291" s="110">
        <f t="shared" si="33"/>
        <v>34213.241579999994</v>
      </c>
    </row>
    <row r="292" spans="2:12">
      <c r="D292" s="145">
        <f>SUM(D283:D291)</f>
        <v>100948.88</v>
      </c>
      <c r="E292" s="146"/>
      <c r="F292" s="146"/>
    </row>
    <row r="294" spans="2:12">
      <c r="C294" s="98" t="s">
        <v>240</v>
      </c>
      <c r="D294" s="98"/>
      <c r="E294" s="98"/>
      <c r="F294" s="98"/>
      <c r="G294" s="98"/>
      <c r="H294" s="98"/>
      <c r="I294" s="98"/>
      <c r="J294" s="99"/>
      <c r="K294" s="99"/>
      <c r="L294" s="99"/>
    </row>
    <row r="295" spans="2:12">
      <c r="C295" s="149">
        <v>9600070503</v>
      </c>
      <c r="D295" s="143">
        <v>53961.19</v>
      </c>
      <c r="E295" s="98"/>
      <c r="F295" s="98"/>
      <c r="G295" s="144">
        <v>41262</v>
      </c>
      <c r="H295" s="98"/>
      <c r="I295" s="143">
        <f>+D295*H297</f>
        <v>136845.57784000001</v>
      </c>
      <c r="J295" s="99"/>
      <c r="K295" s="99"/>
      <c r="L295" s="99"/>
    </row>
    <row r="296" spans="2:12">
      <c r="C296" s="108"/>
      <c r="D296" s="98"/>
      <c r="E296" s="98"/>
      <c r="F296" s="98"/>
      <c r="G296" s="98"/>
      <c r="H296" s="98"/>
      <c r="I296" s="98"/>
      <c r="J296" s="99"/>
      <c r="K296" s="99"/>
      <c r="L296" s="104"/>
    </row>
    <row r="297" spans="2:12">
      <c r="C297" s="109">
        <v>41353</v>
      </c>
      <c r="D297" s="110">
        <v>2558.3200000000002</v>
      </c>
      <c r="E297" s="110">
        <f>439.78+1.64+0.77</f>
        <v>442.18999999999994</v>
      </c>
      <c r="F297" s="110">
        <v>51.5</v>
      </c>
      <c r="G297" s="110">
        <f>SUM(D297:F297)</f>
        <v>3052.01</v>
      </c>
      <c r="H297" s="111">
        <v>2.536</v>
      </c>
      <c r="I297" s="110">
        <f t="shared" ref="I297:I305" si="34">+D297*H297</f>
        <v>6487.8995200000008</v>
      </c>
      <c r="J297" s="110">
        <f t="shared" ref="J297:J305" si="35">+E297*H297</f>
        <v>1121.39384</v>
      </c>
      <c r="K297" s="110">
        <f t="shared" ref="K297:K305" si="36">+F297*H297</f>
        <v>130.60400000000001</v>
      </c>
      <c r="L297" s="110">
        <f>SUM(I297:K297)</f>
        <v>7739.8973600000008</v>
      </c>
    </row>
    <row r="298" spans="2:12">
      <c r="C298" s="109">
        <v>41354</v>
      </c>
      <c r="D298" s="110">
        <v>2662.8</v>
      </c>
      <c r="E298" s="110">
        <f>0.77+0.36</f>
        <v>1.1299999999999999</v>
      </c>
      <c r="F298" s="110"/>
      <c r="G298" s="110">
        <f t="shared" ref="G298:G305" si="37">SUM(D298:F298)</f>
        <v>2663.9300000000003</v>
      </c>
      <c r="H298" s="111">
        <v>2.536</v>
      </c>
      <c r="I298" s="110">
        <f t="shared" si="34"/>
        <v>6752.8608000000004</v>
      </c>
      <c r="J298" s="110">
        <f t="shared" si="35"/>
        <v>2.8656799999999998</v>
      </c>
      <c r="K298" s="110">
        <f t="shared" si="36"/>
        <v>0</v>
      </c>
      <c r="L298" s="110">
        <f t="shared" ref="L298:L305" si="38">SUM(I298:K298)</f>
        <v>6755.7264800000003</v>
      </c>
    </row>
    <row r="299" spans="2:12">
      <c r="C299" s="109">
        <v>41386</v>
      </c>
      <c r="D299" s="110">
        <v>5220.32</v>
      </c>
      <c r="E299" s="110">
        <f>439.98+4.92+2.3</f>
        <v>447.20000000000005</v>
      </c>
      <c r="F299" s="110">
        <v>51.5</v>
      </c>
      <c r="G299" s="110">
        <f>SUM(D299:F299)</f>
        <v>5719.0199999999995</v>
      </c>
      <c r="H299" s="111">
        <v>2.536</v>
      </c>
      <c r="I299" s="110">
        <f t="shared" si="34"/>
        <v>13238.731519999999</v>
      </c>
      <c r="J299" s="110">
        <f t="shared" si="35"/>
        <v>1134.0992000000001</v>
      </c>
      <c r="K299" s="110">
        <f t="shared" si="36"/>
        <v>130.60400000000001</v>
      </c>
      <c r="L299" s="110">
        <f t="shared" si="38"/>
        <v>14503.434719999999</v>
      </c>
    </row>
    <row r="300" spans="2:12">
      <c r="C300" s="109">
        <v>41414</v>
      </c>
      <c r="D300" s="110">
        <v>5267.44</v>
      </c>
      <c r="E300" s="110">
        <v>392.86</v>
      </c>
      <c r="F300" s="110">
        <v>1.5</v>
      </c>
      <c r="G300" s="110">
        <f t="shared" si="37"/>
        <v>5661.7999999999993</v>
      </c>
      <c r="H300" s="111">
        <v>2.536</v>
      </c>
      <c r="I300" s="110">
        <f t="shared" si="34"/>
        <v>13358.22784</v>
      </c>
      <c r="J300" s="110">
        <f t="shared" si="35"/>
        <v>996.29295999999999</v>
      </c>
      <c r="K300" s="110">
        <f t="shared" si="36"/>
        <v>3.8040000000000003</v>
      </c>
      <c r="L300" s="110">
        <f t="shared" si="38"/>
        <v>14358.3248</v>
      </c>
    </row>
    <row r="301" spans="2:12">
      <c r="C301" s="109">
        <v>41446</v>
      </c>
      <c r="D301" s="110">
        <v>5326.18</v>
      </c>
      <c r="E301" s="110">
        <f>334.12+3.28+1.53</f>
        <v>338.92999999999995</v>
      </c>
      <c r="F301" s="110">
        <v>51.5</v>
      </c>
      <c r="G301" s="110">
        <f t="shared" si="37"/>
        <v>5716.6100000000006</v>
      </c>
      <c r="H301" s="111">
        <v>2.536</v>
      </c>
      <c r="I301" s="110">
        <f t="shared" si="34"/>
        <v>13507.192480000002</v>
      </c>
      <c r="J301" s="110">
        <f t="shared" si="35"/>
        <v>859.52647999999988</v>
      </c>
      <c r="K301" s="110">
        <f t="shared" si="36"/>
        <v>130.60400000000001</v>
      </c>
      <c r="L301" s="110">
        <f t="shared" si="38"/>
        <v>14497.322960000001</v>
      </c>
    </row>
    <row r="302" spans="2:12">
      <c r="C302" s="108">
        <v>41481</v>
      </c>
      <c r="D302" s="102">
        <f>5728.66-400.98-1.5</f>
        <v>5326.18</v>
      </c>
      <c r="E302" s="102">
        <v>400.98</v>
      </c>
      <c r="F302" s="102">
        <v>1.5</v>
      </c>
      <c r="G302" s="102">
        <f>SUM(D302:F302)</f>
        <v>5728.66</v>
      </c>
      <c r="H302" s="111">
        <v>2.536</v>
      </c>
      <c r="I302" s="102">
        <f t="shared" si="34"/>
        <v>13507.192480000002</v>
      </c>
      <c r="J302" s="103">
        <f t="shared" si="35"/>
        <v>1016.8852800000001</v>
      </c>
      <c r="K302" s="103">
        <f t="shared" si="36"/>
        <v>3.8040000000000003</v>
      </c>
      <c r="L302" s="103">
        <f t="shared" si="38"/>
        <v>14527.881760000002</v>
      </c>
    </row>
    <row r="303" spans="2:12">
      <c r="C303" s="108">
        <v>41506</v>
      </c>
      <c r="D303" s="102">
        <f>3030.99+2682.07-386.88</f>
        <v>5326.1799999999994</v>
      </c>
      <c r="E303" s="102">
        <f>386.88-1.5</f>
        <v>385.38</v>
      </c>
      <c r="F303" s="102">
        <v>1.5</v>
      </c>
      <c r="G303" s="102">
        <f t="shared" si="37"/>
        <v>5713.0599999999995</v>
      </c>
      <c r="H303" s="111">
        <v>2.536</v>
      </c>
      <c r="I303" s="102">
        <f t="shared" si="34"/>
        <v>13507.192479999998</v>
      </c>
      <c r="J303" s="103">
        <f t="shared" si="35"/>
        <v>977.32367999999997</v>
      </c>
      <c r="K303" s="103">
        <f t="shared" si="36"/>
        <v>3.8040000000000003</v>
      </c>
      <c r="L303" s="103">
        <f t="shared" si="38"/>
        <v>14488.320159999997</v>
      </c>
    </row>
    <row r="304" spans="2:12">
      <c r="C304" s="108"/>
      <c r="D304" s="102"/>
      <c r="E304" s="102"/>
      <c r="F304" s="102"/>
      <c r="G304" s="102">
        <f t="shared" si="37"/>
        <v>0</v>
      </c>
      <c r="H304" s="111">
        <v>2.536</v>
      </c>
      <c r="I304" s="102">
        <f t="shared" si="34"/>
        <v>0</v>
      </c>
      <c r="J304" s="103">
        <f t="shared" si="35"/>
        <v>0</v>
      </c>
      <c r="K304" s="103">
        <f t="shared" si="36"/>
        <v>0</v>
      </c>
      <c r="L304" s="103">
        <f t="shared" si="38"/>
        <v>0</v>
      </c>
    </row>
    <row r="305" spans="3:18">
      <c r="C305" s="108"/>
      <c r="D305" s="102"/>
      <c r="E305" s="102"/>
      <c r="F305" s="102"/>
      <c r="G305" s="102">
        <f t="shared" si="37"/>
        <v>0</v>
      </c>
      <c r="H305" s="111">
        <v>2.536</v>
      </c>
      <c r="I305" s="102">
        <f t="shared" si="34"/>
        <v>0</v>
      </c>
      <c r="J305" s="103">
        <f t="shared" si="35"/>
        <v>0</v>
      </c>
      <c r="K305" s="103">
        <f t="shared" si="36"/>
        <v>0</v>
      </c>
      <c r="L305" s="103">
        <f t="shared" si="38"/>
        <v>0</v>
      </c>
    </row>
    <row r="306" spans="3:18">
      <c r="D306" s="145">
        <f>SUM(D297:D305)</f>
        <v>31687.420000000002</v>
      </c>
      <c r="E306" s="146"/>
      <c r="F306" s="146"/>
    </row>
    <row r="308" spans="3:18">
      <c r="G308" s="2"/>
    </row>
    <row r="309" spans="3:18">
      <c r="G309" s="158"/>
      <c r="K309" s="2"/>
      <c r="L309" s="2"/>
      <c r="M309" s="157">
        <f>+L309-D295</f>
        <v>-53961.19</v>
      </c>
    </row>
    <row r="312" spans="3:18" hidden="1">
      <c r="C312" s="98" t="s">
        <v>240</v>
      </c>
      <c r="D312" s="98"/>
      <c r="E312" s="98"/>
      <c r="F312" s="98"/>
      <c r="G312" s="98"/>
      <c r="H312" s="98"/>
      <c r="I312" s="121"/>
      <c r="J312" s="134"/>
      <c r="K312" s="134"/>
    </row>
    <row r="313" spans="3:18" hidden="1">
      <c r="C313" s="159" t="s">
        <v>255</v>
      </c>
      <c r="D313" s="143">
        <v>82000</v>
      </c>
      <c r="E313" s="98"/>
      <c r="F313" s="98"/>
      <c r="G313" s="144">
        <v>41310</v>
      </c>
      <c r="H313" s="98"/>
      <c r="I313" s="121"/>
      <c r="J313" s="134"/>
      <c r="K313" s="134"/>
      <c r="M313" s="104">
        <v>10766.26</v>
      </c>
      <c r="N313" s="104">
        <f>+M313*H315</f>
        <v>27744.652020000001</v>
      </c>
      <c r="O313" s="104">
        <f>+N313*8</f>
        <v>221957.21616000001</v>
      </c>
      <c r="P313" s="124">
        <v>1011</v>
      </c>
      <c r="Q313" s="103">
        <f>+R315-Q314</f>
        <v>215192.21616000001</v>
      </c>
      <c r="R313" s="124"/>
    </row>
    <row r="314" spans="3:18" hidden="1">
      <c r="C314" s="108"/>
      <c r="D314" s="98"/>
      <c r="E314" s="98"/>
      <c r="F314" s="98"/>
      <c r="G314" s="98"/>
      <c r="H314" s="98"/>
      <c r="I314" s="121"/>
      <c r="J314" s="134"/>
      <c r="K314" s="134"/>
      <c r="M314" s="104"/>
      <c r="N314" s="104"/>
      <c r="O314" s="104">
        <f>+D313*11%/12*9</f>
        <v>6765</v>
      </c>
      <c r="P314" s="124">
        <v>1811</v>
      </c>
      <c r="Q314" s="103">
        <f>+O314</f>
        <v>6765</v>
      </c>
      <c r="R314" s="124"/>
    </row>
    <row r="315" spans="3:18" hidden="1">
      <c r="C315" s="108">
        <v>41340</v>
      </c>
      <c r="D315" s="102">
        <v>9968.07</v>
      </c>
      <c r="E315" s="102">
        <f>725.98+50+6.74+2.9</f>
        <v>785.62</v>
      </c>
      <c r="F315" s="102">
        <v>1.5</v>
      </c>
      <c r="G315" s="102">
        <f t="shared" ref="G315:G324" si="39">SUM(D315:F315)</f>
        <v>10755.19</v>
      </c>
      <c r="H315" s="107">
        <v>2.577</v>
      </c>
      <c r="I315" s="102">
        <f>+D315*H315</f>
        <v>25687.716389999998</v>
      </c>
      <c r="J315" s="103">
        <f>+E315*H315</f>
        <v>2024.5427399999999</v>
      </c>
      <c r="K315" s="103">
        <f>+F315*H315</f>
        <v>3.8654999999999999</v>
      </c>
      <c r="M315" s="104"/>
      <c r="N315" s="104"/>
      <c r="O315" s="104"/>
      <c r="P315" s="124">
        <v>4511</v>
      </c>
      <c r="Q315" s="124"/>
      <c r="R315" s="103">
        <f>+O313</f>
        <v>221957.21616000001</v>
      </c>
    </row>
    <row r="316" spans="3:18" hidden="1">
      <c r="C316" s="108">
        <v>41369</v>
      </c>
      <c r="D316" s="102"/>
      <c r="E316" s="102">
        <v>30.69</v>
      </c>
      <c r="F316" s="102">
        <v>1.5</v>
      </c>
      <c r="G316" s="102">
        <f t="shared" si="39"/>
        <v>32.19</v>
      </c>
      <c r="H316" s="107">
        <v>2.577</v>
      </c>
      <c r="I316" s="102">
        <f t="shared" ref="I316:I324" si="40">+D316*H316</f>
        <v>0</v>
      </c>
      <c r="J316" s="103">
        <f t="shared" ref="J316:J324" si="41">+E316*H316</f>
        <v>79.088130000000007</v>
      </c>
      <c r="K316" s="103">
        <f t="shared" ref="K316:K324" si="42">+F316*H316</f>
        <v>3.8654999999999999</v>
      </c>
    </row>
    <row r="317" spans="3:18" hidden="1">
      <c r="C317" s="108">
        <v>41380</v>
      </c>
      <c r="D317" s="102">
        <v>9987.66</v>
      </c>
      <c r="E317" s="102">
        <f>675.7+50+36.99+15.91</f>
        <v>778.6</v>
      </c>
      <c r="F317" s="102"/>
      <c r="G317" s="102">
        <f t="shared" si="39"/>
        <v>10766.26</v>
      </c>
      <c r="H317" s="107">
        <v>2.577</v>
      </c>
      <c r="I317" s="102">
        <f t="shared" si="40"/>
        <v>25738.199819999998</v>
      </c>
      <c r="J317" s="103">
        <f t="shared" si="41"/>
        <v>2006.4521999999999</v>
      </c>
      <c r="K317" s="103">
        <f t="shared" si="42"/>
        <v>0</v>
      </c>
    </row>
    <row r="318" spans="3:18" hidden="1">
      <c r="C318" s="108">
        <v>41407</v>
      </c>
      <c r="D318" s="102">
        <v>10085.6</v>
      </c>
      <c r="E318" s="102">
        <f>608.46+23.59+10.15</f>
        <v>642.20000000000005</v>
      </c>
      <c r="F318" s="102">
        <v>51.5</v>
      </c>
      <c r="G318" s="102">
        <f t="shared" si="39"/>
        <v>10779.300000000001</v>
      </c>
      <c r="H318" s="107">
        <v>2.577</v>
      </c>
      <c r="I318" s="102">
        <f t="shared" si="40"/>
        <v>25990.591199999999</v>
      </c>
      <c r="J318" s="103">
        <f t="shared" si="41"/>
        <v>1654.9494000000002</v>
      </c>
      <c r="K318" s="103">
        <f t="shared" si="42"/>
        <v>132.71549999999999</v>
      </c>
    </row>
    <row r="319" spans="3:18" hidden="1">
      <c r="C319" s="108">
        <v>41437</v>
      </c>
      <c r="D319" s="102">
        <v>33.700000000000003</v>
      </c>
      <c r="E319" s="102"/>
      <c r="F319" s="102"/>
      <c r="G319" s="102">
        <f t="shared" si="39"/>
        <v>33.700000000000003</v>
      </c>
      <c r="H319" s="107">
        <v>2.577</v>
      </c>
      <c r="I319" s="102">
        <f t="shared" si="40"/>
        <v>86.84490000000001</v>
      </c>
      <c r="J319" s="103">
        <f t="shared" si="41"/>
        <v>0</v>
      </c>
      <c r="K319" s="103">
        <f t="shared" si="42"/>
        <v>0</v>
      </c>
    </row>
    <row r="320" spans="3:18" hidden="1">
      <c r="C320" s="108">
        <v>41439</v>
      </c>
      <c r="D320" s="102">
        <v>994.95</v>
      </c>
      <c r="E320" s="102"/>
      <c r="F320" s="102"/>
      <c r="G320" s="102">
        <f t="shared" si="39"/>
        <v>994.95</v>
      </c>
      <c r="H320" s="107">
        <v>2.577</v>
      </c>
      <c r="I320" s="102">
        <f t="shared" si="40"/>
        <v>2563.9861500000002</v>
      </c>
      <c r="J320" s="103">
        <f t="shared" si="41"/>
        <v>0</v>
      </c>
      <c r="K320" s="103">
        <f t="shared" si="42"/>
        <v>0</v>
      </c>
    </row>
    <row r="321" spans="3:18" hidden="1">
      <c r="C321" s="108">
        <v>41443</v>
      </c>
      <c r="D321" s="102">
        <f>9777.85-720.9</f>
        <v>9056.9500000000007</v>
      </c>
      <c r="E321" s="102">
        <f>720.9-1.5</f>
        <v>719.4</v>
      </c>
      <c r="F321" s="102">
        <v>1.5</v>
      </c>
      <c r="G321" s="102">
        <f t="shared" si="39"/>
        <v>9777.85</v>
      </c>
      <c r="H321" s="107">
        <v>2.577</v>
      </c>
      <c r="I321" s="102">
        <f t="shared" si="40"/>
        <v>23339.760150000002</v>
      </c>
      <c r="J321" s="103">
        <f t="shared" si="41"/>
        <v>1853.8937999999998</v>
      </c>
      <c r="K321" s="103">
        <f t="shared" si="42"/>
        <v>3.8654999999999999</v>
      </c>
    </row>
    <row r="322" spans="3:18" hidden="1">
      <c r="C322" s="108">
        <v>41460</v>
      </c>
      <c r="D322" s="102">
        <v>10085.6</v>
      </c>
      <c r="E322" s="102">
        <f>10695.55-D322-1.5</f>
        <v>608.44999999999891</v>
      </c>
      <c r="F322" s="102">
        <v>1.5</v>
      </c>
      <c r="G322" s="102">
        <f t="shared" si="39"/>
        <v>10695.55</v>
      </c>
      <c r="H322" s="107">
        <v>2.577</v>
      </c>
      <c r="I322" s="102">
        <f t="shared" si="40"/>
        <v>25990.591199999999</v>
      </c>
      <c r="J322" s="103">
        <f t="shared" si="41"/>
        <v>1567.9756499999971</v>
      </c>
      <c r="K322" s="103">
        <f t="shared" si="42"/>
        <v>3.8654999999999999</v>
      </c>
    </row>
    <row r="323" spans="3:18" hidden="1">
      <c r="C323" s="108">
        <v>41492</v>
      </c>
      <c r="D323" s="102">
        <v>10085.6</v>
      </c>
      <c r="E323" s="102">
        <f>664.77-1.5</f>
        <v>663.27</v>
      </c>
      <c r="F323" s="102">
        <v>1.5</v>
      </c>
      <c r="G323" s="102">
        <f t="shared" si="39"/>
        <v>10750.37</v>
      </c>
      <c r="H323" s="107">
        <v>2.577</v>
      </c>
      <c r="I323" s="102">
        <f t="shared" si="40"/>
        <v>25990.591199999999</v>
      </c>
      <c r="J323" s="103">
        <f t="shared" si="41"/>
        <v>1709.2467899999999</v>
      </c>
      <c r="K323" s="103">
        <f t="shared" si="42"/>
        <v>3.8654999999999999</v>
      </c>
    </row>
    <row r="324" spans="3:18" hidden="1">
      <c r="C324" s="108"/>
      <c r="D324" s="102"/>
      <c r="E324" s="102"/>
      <c r="F324" s="102"/>
      <c r="G324" s="102">
        <f t="shared" si="39"/>
        <v>0</v>
      </c>
      <c r="H324" s="107">
        <v>2.577</v>
      </c>
      <c r="I324" s="102">
        <f t="shared" si="40"/>
        <v>0</v>
      </c>
      <c r="J324" s="103">
        <f t="shared" si="41"/>
        <v>0</v>
      </c>
      <c r="K324" s="103">
        <f t="shared" si="42"/>
        <v>0</v>
      </c>
    </row>
    <row r="325" spans="3:18" hidden="1">
      <c r="C325" s="108"/>
      <c r="D325" s="114">
        <f>SUM(D315:D324)</f>
        <v>60298.130000000005</v>
      </c>
      <c r="E325" s="114">
        <f>SUM(E315:E324)</f>
        <v>4228.2299999999996</v>
      </c>
      <c r="F325" s="114">
        <f>SUM(F315:F324)</f>
        <v>59</v>
      </c>
      <c r="G325" s="114">
        <f>SUM(D325:F325)</f>
        <v>64585.36</v>
      </c>
      <c r="H325" s="107"/>
      <c r="I325" s="114">
        <f>SUM(I315:I324)</f>
        <v>155388.28100999998</v>
      </c>
      <c r="J325" s="114">
        <f>SUM(J315:J324)</f>
        <v>10896.148709999996</v>
      </c>
      <c r="K325" s="114">
        <f>SUM(K315:K324)</f>
        <v>152.04299999999998</v>
      </c>
    </row>
    <row r="326" spans="3:18" hidden="1">
      <c r="D326" s="98"/>
      <c r="E326" s="98"/>
      <c r="F326" s="98"/>
      <c r="G326" s="98"/>
      <c r="H326" s="98"/>
      <c r="I326" s="121"/>
      <c r="J326" s="134"/>
      <c r="K326" s="134"/>
    </row>
    <row r="327" spans="3:18" hidden="1">
      <c r="D327" s="105">
        <f>SUM(D319:D321)</f>
        <v>10085.6</v>
      </c>
      <c r="E327" s="98"/>
      <c r="F327" s="105"/>
      <c r="G327" s="98"/>
      <c r="H327" s="98"/>
      <c r="I327" s="121"/>
      <c r="J327" s="134"/>
      <c r="K327" s="134"/>
    </row>
    <row r="328" spans="3:18" hidden="1">
      <c r="D328" s="105">
        <f>+D327-D318</f>
        <v>0</v>
      </c>
      <c r="E328" s="98"/>
      <c r="F328" s="98"/>
      <c r="G328" s="98"/>
      <c r="H328" s="98"/>
      <c r="I328" s="121"/>
      <c r="J328" s="134"/>
      <c r="K328" s="134"/>
    </row>
    <row r="329" spans="3:18" hidden="1">
      <c r="D329" s="98"/>
      <c r="E329" s="98"/>
      <c r="F329" s="98"/>
      <c r="G329" s="98"/>
      <c r="H329" s="98"/>
      <c r="I329" s="121"/>
      <c r="J329" s="134"/>
      <c r="K329" s="134"/>
    </row>
    <row r="330" spans="3:18" hidden="1">
      <c r="C330" s="98" t="s">
        <v>240</v>
      </c>
      <c r="D330" s="98"/>
      <c r="E330" s="98"/>
      <c r="F330" s="98"/>
      <c r="G330" s="98"/>
      <c r="H330" s="98"/>
      <c r="I330" s="121"/>
      <c r="J330" s="134"/>
      <c r="K330" s="134"/>
    </row>
    <row r="331" spans="3:18" hidden="1">
      <c r="C331" s="133" t="s">
        <v>250</v>
      </c>
      <c r="D331" s="143">
        <v>27700</v>
      </c>
      <c r="E331" s="98"/>
      <c r="F331" s="98"/>
      <c r="G331" s="144">
        <v>41360</v>
      </c>
      <c r="H331" s="98"/>
      <c r="I331" s="121"/>
      <c r="J331" s="134"/>
      <c r="K331" s="134"/>
      <c r="M331" s="104"/>
      <c r="N331" s="104"/>
      <c r="O331" s="104"/>
      <c r="P331" s="124">
        <v>1011</v>
      </c>
      <c r="Q331" s="103">
        <f>+R333-Q332</f>
        <v>71632.2</v>
      </c>
      <c r="R331" s="124"/>
    </row>
    <row r="332" spans="3:18" hidden="1">
      <c r="C332" s="142"/>
      <c r="D332" s="98"/>
      <c r="E332" s="98"/>
      <c r="F332" s="98"/>
      <c r="G332" s="98"/>
      <c r="H332" s="98"/>
      <c r="I332" s="121"/>
      <c r="J332" s="134"/>
      <c r="K332" s="134"/>
      <c r="M332" s="104"/>
      <c r="N332" s="104"/>
      <c r="O332" s="104"/>
      <c r="P332" s="124">
        <v>1811</v>
      </c>
      <c r="Q332" s="103">
        <f>+J340+K340</f>
        <v>3540.4667399999994</v>
      </c>
      <c r="R332" s="124"/>
    </row>
    <row r="333" spans="3:18" hidden="1">
      <c r="C333" s="108">
        <v>41421</v>
      </c>
      <c r="D333" s="102">
        <v>3849.21</v>
      </c>
      <c r="E333" s="102">
        <v>537.05999999999995</v>
      </c>
      <c r="F333" s="102">
        <v>1.5</v>
      </c>
      <c r="G333" s="102">
        <f t="shared" ref="G333:G339" si="43">SUM(D333:F333)</f>
        <v>4387.7700000000004</v>
      </c>
      <c r="H333" s="107">
        <v>2.5859999999999999</v>
      </c>
      <c r="I333" s="102">
        <f>+D333*H333</f>
        <v>9954.0570599999992</v>
      </c>
      <c r="J333" s="103">
        <f>+H333*E333</f>
        <v>1388.8371599999998</v>
      </c>
      <c r="K333" s="103">
        <f>+H333*F333</f>
        <v>3.8789999999999996</v>
      </c>
      <c r="L333" s="240">
        <f>+I333+J333+K333</f>
        <v>11346.773219999999</v>
      </c>
      <c r="M333" s="104"/>
      <c r="N333" s="104"/>
      <c r="O333" s="104"/>
      <c r="P333" s="124">
        <v>4511</v>
      </c>
      <c r="Q333" s="124"/>
      <c r="R333" s="103">
        <f>+I340+J340+K340</f>
        <v>75172.666740000001</v>
      </c>
    </row>
    <row r="334" spans="3:18" hidden="1">
      <c r="C334" s="108">
        <v>41452</v>
      </c>
      <c r="D334" s="102">
        <v>3878.15</v>
      </c>
      <c r="E334" s="102">
        <v>233.9</v>
      </c>
      <c r="F334" s="102">
        <v>1.5</v>
      </c>
      <c r="G334" s="102">
        <f t="shared" si="43"/>
        <v>4113.55</v>
      </c>
      <c r="H334" s="107">
        <v>2.5859999999999999</v>
      </c>
      <c r="I334" s="102">
        <f t="shared" ref="I334:I339" si="44">+D334*H334</f>
        <v>10028.8959</v>
      </c>
      <c r="J334" s="103">
        <f t="shared" ref="J334:J339" si="45">+H334*E334</f>
        <v>604.86540000000002</v>
      </c>
      <c r="K334" s="103">
        <f t="shared" ref="K334:K339" si="46">+H334*F334</f>
        <v>3.8789999999999996</v>
      </c>
      <c r="L334" s="240">
        <f t="shared" ref="L334:L340" si="47">+I334+J334+K334</f>
        <v>10637.640300000001</v>
      </c>
    </row>
    <row r="335" spans="3:18" hidden="1">
      <c r="C335" s="108">
        <v>41485</v>
      </c>
      <c r="D335" s="102">
        <v>3903.48</v>
      </c>
      <c r="E335" s="102">
        <v>208.57</v>
      </c>
      <c r="F335" s="102">
        <v>1.5</v>
      </c>
      <c r="G335" s="102">
        <f t="shared" si="43"/>
        <v>4113.55</v>
      </c>
      <c r="H335" s="107">
        <v>2.5859999999999999</v>
      </c>
      <c r="I335" s="102">
        <f t="shared" si="44"/>
        <v>10094.39928</v>
      </c>
      <c r="J335" s="103">
        <f t="shared" si="45"/>
        <v>539.36201999999992</v>
      </c>
      <c r="K335" s="103">
        <f t="shared" si="46"/>
        <v>3.8789999999999996</v>
      </c>
      <c r="L335" s="240">
        <f t="shared" si="47"/>
        <v>10637.640300000001</v>
      </c>
    </row>
    <row r="336" spans="3:18" hidden="1">
      <c r="C336" s="108">
        <v>41513</v>
      </c>
      <c r="D336" s="102">
        <v>3969.78</v>
      </c>
      <c r="E336" s="102">
        <v>142.27000000000001</v>
      </c>
      <c r="F336" s="102">
        <v>1.5</v>
      </c>
      <c r="G336" s="102">
        <f t="shared" si="43"/>
        <v>4113.55</v>
      </c>
      <c r="H336" s="107">
        <v>2.5859999999999999</v>
      </c>
      <c r="I336" s="102">
        <f t="shared" si="44"/>
        <v>10265.85108</v>
      </c>
      <c r="J336" s="103">
        <f t="shared" si="45"/>
        <v>367.91021999999998</v>
      </c>
      <c r="K336" s="103">
        <f t="shared" si="46"/>
        <v>3.8789999999999996</v>
      </c>
      <c r="L336" s="240">
        <f t="shared" si="47"/>
        <v>10637.640300000001</v>
      </c>
    </row>
    <row r="337" spans="3:18">
      <c r="C337" s="108">
        <v>41544</v>
      </c>
      <c r="D337" s="102">
        <v>3993.4</v>
      </c>
      <c r="E337" s="102">
        <v>118.65</v>
      </c>
      <c r="F337" s="102">
        <v>1.5</v>
      </c>
      <c r="G337" s="102">
        <f t="shared" si="43"/>
        <v>4113.55</v>
      </c>
      <c r="H337" s="107">
        <v>2.5859999999999999</v>
      </c>
      <c r="I337" s="102">
        <f t="shared" si="44"/>
        <v>10326.9324</v>
      </c>
      <c r="J337" s="103">
        <f t="shared" si="45"/>
        <v>306.82889999999998</v>
      </c>
      <c r="K337" s="103">
        <f t="shared" si="46"/>
        <v>3.8789999999999996</v>
      </c>
      <c r="L337" s="240">
        <f t="shared" si="47"/>
        <v>10637.640300000001</v>
      </c>
    </row>
    <row r="338" spans="3:18" hidden="1">
      <c r="C338" s="108">
        <v>41575</v>
      </c>
      <c r="D338" s="102">
        <v>4032.56</v>
      </c>
      <c r="E338" s="102">
        <v>79.489999999999995</v>
      </c>
      <c r="F338" s="102">
        <v>1.5</v>
      </c>
      <c r="G338" s="102">
        <f t="shared" si="43"/>
        <v>4113.55</v>
      </c>
      <c r="H338" s="107">
        <v>2.5859999999999999</v>
      </c>
      <c r="I338" s="102">
        <f t="shared" si="44"/>
        <v>10428.200159999999</v>
      </c>
      <c r="J338" s="103">
        <f t="shared" si="45"/>
        <v>205.56113999999997</v>
      </c>
      <c r="K338" s="103">
        <f t="shared" si="46"/>
        <v>3.8789999999999996</v>
      </c>
      <c r="L338" s="240">
        <f t="shared" si="47"/>
        <v>10637.640299999999</v>
      </c>
    </row>
    <row r="339" spans="3:18" hidden="1">
      <c r="C339" s="108">
        <v>41605</v>
      </c>
      <c r="D339" s="102">
        <v>4073.42</v>
      </c>
      <c r="E339" s="102">
        <v>38.65</v>
      </c>
      <c r="F339" s="102">
        <v>1.5</v>
      </c>
      <c r="G339" s="102">
        <f t="shared" si="43"/>
        <v>4113.57</v>
      </c>
      <c r="H339" s="107">
        <v>2.5859999999999999</v>
      </c>
      <c r="I339" s="102">
        <f t="shared" si="44"/>
        <v>10533.86412</v>
      </c>
      <c r="J339" s="103">
        <f t="shared" si="45"/>
        <v>99.948899999999995</v>
      </c>
      <c r="K339" s="103">
        <f t="shared" si="46"/>
        <v>3.8789999999999996</v>
      </c>
      <c r="L339" s="240">
        <f t="shared" si="47"/>
        <v>10637.69202</v>
      </c>
    </row>
    <row r="340" spans="3:18" hidden="1">
      <c r="C340" s="108"/>
      <c r="D340" s="114">
        <f>SUM(D333:D339)</f>
        <v>27700</v>
      </c>
      <c r="E340" s="114">
        <f>SUM(E333:E339)</f>
        <v>1358.5900000000001</v>
      </c>
      <c r="F340" s="114">
        <f>SUM(F333:F339)</f>
        <v>10.5</v>
      </c>
      <c r="G340" s="114">
        <f>SUM(G333:G339)</f>
        <v>29069.089999999997</v>
      </c>
      <c r="H340" s="107"/>
      <c r="I340" s="114">
        <f>SUM(I333:I339)</f>
        <v>71632.2</v>
      </c>
      <c r="J340" s="114">
        <f>SUM(J333:J339)</f>
        <v>3513.3137399999996</v>
      </c>
      <c r="K340" s="114">
        <f>SUM(K333:K339)</f>
        <v>27.152999999999992</v>
      </c>
      <c r="L340" s="148">
        <f t="shared" si="47"/>
        <v>75172.666740000001</v>
      </c>
    </row>
    <row r="341" spans="3:18" hidden="1">
      <c r="C341" s="98"/>
      <c r="D341" s="98"/>
      <c r="E341" s="98"/>
      <c r="F341" s="98"/>
      <c r="G341" s="98"/>
      <c r="H341" s="98"/>
      <c r="I341" s="121"/>
      <c r="J341" s="134"/>
      <c r="K341" s="134"/>
    </row>
    <row r="342" spans="3:18" hidden="1">
      <c r="C342" s="98"/>
      <c r="D342" s="98"/>
      <c r="E342" s="98"/>
      <c r="F342" s="98"/>
      <c r="G342" s="98"/>
      <c r="H342" s="98"/>
      <c r="I342" s="121"/>
      <c r="J342" s="134"/>
      <c r="K342" s="134"/>
    </row>
    <row r="343" spans="3:18" hidden="1">
      <c r="C343" s="98" t="s">
        <v>240</v>
      </c>
      <c r="D343" s="98"/>
      <c r="E343" s="98"/>
      <c r="F343" s="98"/>
      <c r="G343" s="98"/>
      <c r="H343" s="98"/>
      <c r="I343" s="121"/>
      <c r="J343" s="134"/>
      <c r="K343" s="134"/>
    </row>
    <row r="344" spans="3:18" hidden="1">
      <c r="C344" s="133" t="s">
        <v>251</v>
      </c>
      <c r="D344" s="143">
        <v>27500</v>
      </c>
      <c r="E344" s="98"/>
      <c r="F344" s="98"/>
      <c r="G344" s="144">
        <v>41386</v>
      </c>
      <c r="H344" s="98"/>
      <c r="I344" s="121"/>
      <c r="J344" s="134"/>
      <c r="K344" s="134"/>
      <c r="P344" s="124">
        <v>1011</v>
      </c>
      <c r="Q344" s="103">
        <f>+R346-Q345</f>
        <v>71307.5</v>
      </c>
      <c r="R344" s="124"/>
    </row>
    <row r="345" spans="3:18" hidden="1">
      <c r="C345" s="108"/>
      <c r="D345" s="98"/>
      <c r="E345" s="98"/>
      <c r="F345" s="98"/>
      <c r="G345" s="98"/>
      <c r="H345" s="98"/>
      <c r="I345" s="121"/>
      <c r="J345" s="134"/>
      <c r="K345" s="134"/>
      <c r="P345" s="124">
        <v>1811</v>
      </c>
      <c r="Q345" s="103">
        <f>+J354+K354</f>
        <v>3173.1837500000001</v>
      </c>
      <c r="R345" s="124"/>
    </row>
    <row r="346" spans="3:18" hidden="1">
      <c r="C346" s="108">
        <v>41416</v>
      </c>
      <c r="D346" s="102">
        <v>3328.03</v>
      </c>
      <c r="E346" s="102">
        <v>260.94</v>
      </c>
      <c r="F346" s="102">
        <v>1.5</v>
      </c>
      <c r="G346" s="102">
        <f>SUM(D346:F346)</f>
        <v>3590.4700000000003</v>
      </c>
      <c r="H346" s="107">
        <v>2.593</v>
      </c>
      <c r="I346" s="102">
        <f>+D346*H346</f>
        <v>8629.5817900000002</v>
      </c>
      <c r="J346" s="103">
        <f>+H346*E346</f>
        <v>676.61742000000004</v>
      </c>
      <c r="K346" s="103">
        <f>+H346*F346</f>
        <v>3.8895</v>
      </c>
      <c r="L346" s="137">
        <f>+I346+J346+K346</f>
        <v>9310.08871</v>
      </c>
      <c r="P346" s="124">
        <v>4511</v>
      </c>
      <c r="Q346" s="124"/>
      <c r="R346" s="103">
        <f>+I354+J354+K354</f>
        <v>74480.683749999997</v>
      </c>
    </row>
    <row r="347" spans="3:18" hidden="1">
      <c r="C347" s="108">
        <v>41449</v>
      </c>
      <c r="D347" s="102">
        <v>3336.55</v>
      </c>
      <c r="E347" s="102">
        <v>252.42</v>
      </c>
      <c r="F347" s="102">
        <v>1.5</v>
      </c>
      <c r="G347" s="102">
        <f>SUM(D347:F347)</f>
        <v>3590.4700000000003</v>
      </c>
      <c r="H347" s="107">
        <v>2.593</v>
      </c>
      <c r="I347" s="102">
        <f t="shared" ref="I347:I353" si="48">+D347*H347</f>
        <v>8651.6741500000007</v>
      </c>
      <c r="J347" s="103">
        <f t="shared" ref="J347:J353" si="49">+H347*E347</f>
        <v>654.52505999999994</v>
      </c>
      <c r="K347" s="103">
        <f t="shared" ref="K347:K353" si="50">+H347*F347</f>
        <v>3.8895</v>
      </c>
      <c r="L347" s="137">
        <f t="shared" ref="L347:L354" si="51">+I347+J347+K347</f>
        <v>9310.08871</v>
      </c>
    </row>
    <row r="348" spans="3:18" hidden="1">
      <c r="C348" s="108">
        <v>41477</v>
      </c>
      <c r="D348" s="102">
        <v>3404.51</v>
      </c>
      <c r="E348" s="102">
        <v>184.46</v>
      </c>
      <c r="F348" s="102">
        <v>1.5</v>
      </c>
      <c r="G348" s="102">
        <f>SUM(D348:F348)</f>
        <v>3590.4700000000003</v>
      </c>
      <c r="H348" s="107">
        <v>2.593</v>
      </c>
      <c r="I348" s="102">
        <f t="shared" si="48"/>
        <v>8827.8944300000003</v>
      </c>
      <c r="J348" s="103">
        <f t="shared" si="49"/>
        <v>478.30477999999999</v>
      </c>
      <c r="K348" s="103">
        <f t="shared" si="50"/>
        <v>3.8895</v>
      </c>
      <c r="L348" s="137">
        <f t="shared" si="51"/>
        <v>9310.08871</v>
      </c>
    </row>
    <row r="349" spans="3:18" hidden="1">
      <c r="C349" s="108">
        <v>41508</v>
      </c>
      <c r="D349" s="102">
        <v>3418.03</v>
      </c>
      <c r="E349" s="102">
        <v>170.94</v>
      </c>
      <c r="F349" s="102">
        <v>1.5</v>
      </c>
      <c r="G349" s="102">
        <f t="shared" ref="G349:G354" si="52">SUM(D349:F349)</f>
        <v>3590.4700000000003</v>
      </c>
      <c r="H349" s="107">
        <v>2.593</v>
      </c>
      <c r="I349" s="102">
        <f t="shared" si="48"/>
        <v>8862.951790000001</v>
      </c>
      <c r="J349" s="103">
        <f t="shared" si="49"/>
        <v>443.24741999999998</v>
      </c>
      <c r="K349" s="103">
        <f t="shared" si="50"/>
        <v>3.8895</v>
      </c>
      <c r="L349" s="137">
        <f t="shared" si="51"/>
        <v>9310.08871</v>
      </c>
    </row>
    <row r="350" spans="3:18" hidden="1">
      <c r="C350" s="108">
        <v>41540</v>
      </c>
      <c r="D350" s="102">
        <v>3447.1</v>
      </c>
      <c r="E350" s="102">
        <v>141.87</v>
      </c>
      <c r="F350" s="102">
        <v>1.5</v>
      </c>
      <c r="G350" s="102">
        <f t="shared" si="52"/>
        <v>3590.47</v>
      </c>
      <c r="H350" s="107">
        <v>2.593</v>
      </c>
      <c r="I350" s="102">
        <f t="shared" si="48"/>
        <v>8938.3302999999996</v>
      </c>
      <c r="J350" s="103">
        <f t="shared" si="49"/>
        <v>367.86891000000003</v>
      </c>
      <c r="K350" s="103">
        <f t="shared" si="50"/>
        <v>3.8895</v>
      </c>
      <c r="L350" s="137">
        <f t="shared" si="51"/>
        <v>9310.0887099999982</v>
      </c>
    </row>
    <row r="351" spans="3:18" hidden="1">
      <c r="C351" s="108">
        <v>41569</v>
      </c>
      <c r="D351" s="102">
        <v>3492.07</v>
      </c>
      <c r="E351" s="102">
        <v>96.9</v>
      </c>
      <c r="F351" s="102">
        <v>1.5</v>
      </c>
      <c r="G351" s="102">
        <f t="shared" si="52"/>
        <v>3590.4700000000003</v>
      </c>
      <c r="H351" s="107">
        <v>2.593</v>
      </c>
      <c r="I351" s="102">
        <f t="shared" si="48"/>
        <v>9054.9375099999997</v>
      </c>
      <c r="J351" s="103">
        <f t="shared" si="49"/>
        <v>251.26170000000002</v>
      </c>
      <c r="K351" s="103">
        <f t="shared" si="50"/>
        <v>3.8895</v>
      </c>
      <c r="L351" s="137">
        <f t="shared" si="51"/>
        <v>9310.0887099999982</v>
      </c>
    </row>
    <row r="352" spans="3:18" hidden="1">
      <c r="C352" s="108">
        <v>41600</v>
      </c>
      <c r="D352" s="102">
        <v>3519.6</v>
      </c>
      <c r="E352" s="102">
        <v>69.37</v>
      </c>
      <c r="F352" s="102">
        <v>1.5</v>
      </c>
      <c r="G352" s="102">
        <f t="shared" si="52"/>
        <v>3590.47</v>
      </c>
      <c r="H352" s="107">
        <v>2.593</v>
      </c>
      <c r="I352" s="102">
        <f t="shared" si="48"/>
        <v>9126.3227999999999</v>
      </c>
      <c r="J352" s="103">
        <f t="shared" si="49"/>
        <v>179.87641000000002</v>
      </c>
      <c r="K352" s="103">
        <f t="shared" si="50"/>
        <v>3.8895</v>
      </c>
      <c r="L352" s="137">
        <f t="shared" si="51"/>
        <v>9310.08871</v>
      </c>
    </row>
    <row r="353" spans="3:18" hidden="1">
      <c r="C353" s="108">
        <v>41631</v>
      </c>
      <c r="D353" s="102">
        <v>3554.11</v>
      </c>
      <c r="E353" s="102">
        <v>34.85</v>
      </c>
      <c r="F353" s="102">
        <v>1.5</v>
      </c>
      <c r="G353" s="102">
        <f t="shared" si="52"/>
        <v>3590.46</v>
      </c>
      <c r="H353" s="107">
        <v>2.593</v>
      </c>
      <c r="I353" s="102">
        <f t="shared" si="48"/>
        <v>9215.8072300000003</v>
      </c>
      <c r="J353" s="103">
        <f t="shared" si="49"/>
        <v>90.366050000000001</v>
      </c>
      <c r="K353" s="103">
        <f t="shared" si="50"/>
        <v>3.8895</v>
      </c>
      <c r="L353" s="137">
        <f t="shared" si="51"/>
        <v>9310.0627800000002</v>
      </c>
    </row>
    <row r="354" spans="3:18" hidden="1">
      <c r="C354" s="108"/>
      <c r="D354" s="114">
        <f>SUM(D346:D353)</f>
        <v>27500</v>
      </c>
      <c r="E354" s="114">
        <f>SUM(E346:E353)</f>
        <v>1211.75</v>
      </c>
      <c r="F354" s="114">
        <f>SUM(F346:F353)</f>
        <v>12</v>
      </c>
      <c r="G354" s="114">
        <f t="shared" si="52"/>
        <v>28723.75</v>
      </c>
      <c r="H354" s="107"/>
      <c r="I354" s="114">
        <f>SUM(I346:I353)</f>
        <v>71307.5</v>
      </c>
      <c r="J354" s="114">
        <f>SUM(J346:J353)</f>
        <v>3142.0677500000002</v>
      </c>
      <c r="K354" s="114">
        <f>SUM(K346:K353)</f>
        <v>31.115999999999993</v>
      </c>
      <c r="L354" s="137">
        <f t="shared" si="51"/>
        <v>74480.683749999997</v>
      </c>
    </row>
    <row r="355" spans="3:18" hidden="1">
      <c r="C355" s="98"/>
      <c r="D355" s="98"/>
      <c r="E355" s="98"/>
      <c r="F355" s="98"/>
      <c r="G355" s="98"/>
      <c r="H355" s="98"/>
      <c r="I355" s="121"/>
      <c r="J355" s="134"/>
      <c r="K355" s="134"/>
    </row>
    <row r="356" spans="3:18" hidden="1">
      <c r="C356" s="98"/>
      <c r="D356" s="98"/>
      <c r="E356" s="98"/>
      <c r="F356" s="98"/>
      <c r="G356" s="98"/>
      <c r="H356" s="98"/>
      <c r="I356" s="121"/>
      <c r="J356" s="134"/>
      <c r="K356" s="134"/>
    </row>
    <row r="357" spans="3:18" hidden="1">
      <c r="C357" s="98"/>
      <c r="D357" s="98"/>
      <c r="E357" s="98"/>
      <c r="F357" s="98"/>
      <c r="G357" s="98"/>
      <c r="H357" s="98"/>
      <c r="I357" s="121"/>
      <c r="J357" s="134"/>
      <c r="K357" s="134"/>
    </row>
    <row r="358" spans="3:18" hidden="1">
      <c r="C358" s="98"/>
      <c r="D358" s="98"/>
      <c r="E358" s="98"/>
      <c r="F358" s="98"/>
      <c r="G358" s="98"/>
      <c r="H358" s="98"/>
      <c r="I358" s="121"/>
      <c r="J358" s="134"/>
      <c r="K358" s="134"/>
    </row>
    <row r="359" spans="3:18" hidden="1">
      <c r="C359" s="98"/>
      <c r="D359" s="98"/>
      <c r="E359" s="98"/>
      <c r="F359" s="98"/>
      <c r="G359" s="98"/>
      <c r="H359" s="98"/>
      <c r="I359" s="121"/>
      <c r="J359" s="134"/>
      <c r="K359" s="134"/>
    </row>
    <row r="360" spans="3:18" hidden="1">
      <c r="C360" s="98"/>
      <c r="D360" s="98"/>
      <c r="E360" s="98"/>
      <c r="F360" s="98"/>
      <c r="G360" s="98"/>
      <c r="H360" s="98"/>
      <c r="I360" s="121"/>
      <c r="J360" s="134"/>
      <c r="K360" s="134"/>
    </row>
    <row r="361" spans="3:18" hidden="1">
      <c r="C361" s="98"/>
      <c r="D361" s="98"/>
      <c r="E361" s="98"/>
      <c r="F361" s="98"/>
      <c r="G361" s="98"/>
      <c r="H361" s="98"/>
      <c r="I361" s="121"/>
      <c r="J361" s="134"/>
      <c r="K361" s="134"/>
    </row>
    <row r="362" spans="3:18" hidden="1">
      <c r="C362" s="98" t="s">
        <v>240</v>
      </c>
      <c r="D362" s="98"/>
      <c r="E362" s="98"/>
      <c r="F362" s="98"/>
      <c r="G362" s="98"/>
      <c r="H362" s="98"/>
      <c r="I362" s="121"/>
      <c r="J362" s="134"/>
      <c r="K362" s="134"/>
    </row>
    <row r="363" spans="3:18" hidden="1">
      <c r="C363" s="159" t="s">
        <v>248</v>
      </c>
      <c r="D363" s="143">
        <v>200000</v>
      </c>
      <c r="E363" s="149"/>
      <c r="F363" s="149"/>
      <c r="G363" s="144">
        <v>41409</v>
      </c>
      <c r="H363" s="98"/>
      <c r="I363" s="122"/>
      <c r="J363" s="134"/>
      <c r="K363" s="134"/>
      <c r="P363" s="124">
        <v>1011</v>
      </c>
      <c r="Q363" s="103">
        <f>+R365-Q364</f>
        <v>200000</v>
      </c>
      <c r="R363" s="124"/>
    </row>
    <row r="364" spans="3:18" hidden="1">
      <c r="C364" s="108"/>
      <c r="D364" s="98"/>
      <c r="E364" s="98"/>
      <c r="F364" s="98"/>
      <c r="G364" s="98"/>
      <c r="H364" s="98"/>
      <c r="I364" s="121"/>
      <c r="J364" s="134"/>
      <c r="K364" s="134"/>
      <c r="P364" s="124">
        <v>1811</v>
      </c>
      <c r="Q364" s="103">
        <f>+E401+F401</f>
        <v>34746.890000000007</v>
      </c>
      <c r="R364" s="124"/>
    </row>
    <row r="365" spans="3:18" hidden="1">
      <c r="C365" s="108">
        <v>41442</v>
      </c>
      <c r="D365" s="102">
        <v>4592.8</v>
      </c>
      <c r="E365" s="102">
        <v>1922.45</v>
      </c>
      <c r="F365" s="102">
        <v>5.5</v>
      </c>
      <c r="G365" s="102">
        <f>SUM(D365:F365)</f>
        <v>6520.75</v>
      </c>
      <c r="H365" s="98"/>
      <c r="I365" s="122"/>
      <c r="J365" s="135"/>
      <c r="K365" s="135"/>
      <c r="P365" s="124">
        <v>4511</v>
      </c>
      <c r="Q365" s="124"/>
      <c r="R365" s="103">
        <f>+G401</f>
        <v>234746.89</v>
      </c>
    </row>
    <row r="366" spans="3:18" hidden="1">
      <c r="C366" s="108">
        <v>41470</v>
      </c>
      <c r="D366" s="102">
        <v>4922.7</v>
      </c>
      <c r="E366" s="102">
        <v>1592.55</v>
      </c>
      <c r="F366" s="102">
        <v>5.5</v>
      </c>
      <c r="G366" s="102">
        <f t="shared" ref="G366:G400" si="53">SUM(D366:F366)</f>
        <v>6520.75</v>
      </c>
      <c r="H366" s="98"/>
      <c r="I366" s="122"/>
      <c r="J366" s="135"/>
      <c r="K366" s="135"/>
    </row>
    <row r="367" spans="3:18" hidden="1">
      <c r="C367" s="108">
        <v>41501</v>
      </c>
      <c r="D367" s="102">
        <v>4795.74</v>
      </c>
      <c r="E367" s="102">
        <v>1719.51</v>
      </c>
      <c r="F367" s="102">
        <v>5.5</v>
      </c>
      <c r="G367" s="102">
        <f t="shared" si="53"/>
        <v>6520.75</v>
      </c>
      <c r="H367" s="98"/>
      <c r="I367" s="122"/>
      <c r="J367" s="135"/>
      <c r="K367" s="135"/>
    </row>
    <row r="368" spans="3:18" hidden="1">
      <c r="C368" s="108">
        <v>41533</v>
      </c>
      <c r="D368" s="102">
        <v>4784.7</v>
      </c>
      <c r="E368" s="102">
        <v>1730.55</v>
      </c>
      <c r="F368" s="102">
        <v>5.5</v>
      </c>
      <c r="G368" s="102">
        <f t="shared" si="53"/>
        <v>6520.75</v>
      </c>
      <c r="H368" s="98"/>
      <c r="I368" s="122"/>
      <c r="J368" s="135"/>
      <c r="K368" s="135"/>
    </row>
    <row r="369" spans="3:11" hidden="1">
      <c r="C369" s="108">
        <v>41562</v>
      </c>
      <c r="D369" s="102">
        <v>4988.0200000000004</v>
      </c>
      <c r="E369" s="102">
        <v>1527.23</v>
      </c>
      <c r="F369" s="102">
        <v>5.5</v>
      </c>
      <c r="G369" s="102">
        <f t="shared" si="53"/>
        <v>6520.75</v>
      </c>
      <c r="H369" s="98"/>
      <c r="I369" s="122"/>
      <c r="J369" s="135"/>
      <c r="K369" s="135"/>
    </row>
    <row r="370" spans="3:11" hidden="1">
      <c r="C370" s="108">
        <v>41593</v>
      </c>
      <c r="D370" s="102">
        <v>4927.25</v>
      </c>
      <c r="E370" s="102">
        <v>1588</v>
      </c>
      <c r="F370" s="102">
        <v>5.5</v>
      </c>
      <c r="G370" s="102">
        <f t="shared" si="53"/>
        <v>6520.75</v>
      </c>
      <c r="H370" s="98"/>
      <c r="I370" s="122"/>
      <c r="J370" s="135"/>
      <c r="K370" s="135"/>
    </row>
    <row r="371" spans="3:11" hidden="1">
      <c r="C371" s="108">
        <v>41624</v>
      </c>
      <c r="D371" s="102">
        <v>4971.72</v>
      </c>
      <c r="E371" s="102">
        <v>1543.53</v>
      </c>
      <c r="F371" s="102">
        <v>5.5</v>
      </c>
      <c r="G371" s="102">
        <f t="shared" si="53"/>
        <v>6520.75</v>
      </c>
      <c r="H371" s="98"/>
      <c r="I371" s="122"/>
      <c r="J371" s="135"/>
      <c r="K371" s="135"/>
    </row>
    <row r="372" spans="3:11" hidden="1">
      <c r="C372" s="108">
        <v>41654</v>
      </c>
      <c r="D372" s="102">
        <v>5065.16</v>
      </c>
      <c r="E372" s="102">
        <v>1450.09</v>
      </c>
      <c r="F372" s="102">
        <v>5.5</v>
      </c>
      <c r="G372" s="102">
        <f t="shared" si="53"/>
        <v>6520.75</v>
      </c>
      <c r="H372" s="98"/>
      <c r="I372" s="122"/>
      <c r="J372" s="135"/>
      <c r="K372" s="135"/>
    </row>
    <row r="373" spans="3:11" hidden="1">
      <c r="C373" s="108">
        <v>41687</v>
      </c>
      <c r="D373" s="102">
        <v>4968.1400000000003</v>
      </c>
      <c r="E373" s="102">
        <v>1547.11</v>
      </c>
      <c r="F373" s="102">
        <v>5.5</v>
      </c>
      <c r="G373" s="102">
        <f t="shared" si="53"/>
        <v>6520.75</v>
      </c>
      <c r="H373" s="98"/>
      <c r="I373" s="122"/>
      <c r="J373" s="135"/>
      <c r="K373" s="135"/>
    </row>
    <row r="374" spans="3:11" hidden="1">
      <c r="C374" s="108">
        <v>41715</v>
      </c>
      <c r="D374" s="102">
        <v>5243.99</v>
      </c>
      <c r="E374" s="102">
        <v>1271.26</v>
      </c>
      <c r="F374" s="102">
        <v>5.5</v>
      </c>
      <c r="G374" s="102">
        <f t="shared" si="53"/>
        <v>6520.75</v>
      </c>
      <c r="H374" s="98"/>
      <c r="I374" s="122"/>
      <c r="J374" s="135"/>
      <c r="K374" s="135"/>
    </row>
    <row r="375" spans="3:11" hidden="1">
      <c r="C375" s="108">
        <v>41744</v>
      </c>
      <c r="D375" s="102">
        <v>5242.67</v>
      </c>
      <c r="E375" s="102">
        <v>1272.58</v>
      </c>
      <c r="F375" s="102">
        <v>5.5</v>
      </c>
      <c r="G375" s="102">
        <f t="shared" si="53"/>
        <v>6520.75</v>
      </c>
      <c r="H375" s="98"/>
      <c r="I375" s="122"/>
      <c r="J375" s="135"/>
      <c r="K375" s="135"/>
    </row>
    <row r="376" spans="3:11" hidden="1">
      <c r="C376" s="108">
        <v>41774</v>
      </c>
      <c r="D376" s="102">
        <v>5244.39</v>
      </c>
      <c r="E376" s="102">
        <v>1270.8599999999999</v>
      </c>
      <c r="F376" s="102">
        <v>5.5</v>
      </c>
      <c r="G376" s="102">
        <f t="shared" si="53"/>
        <v>6520.75</v>
      </c>
      <c r="H376" s="98"/>
      <c r="I376" s="122"/>
      <c r="J376" s="135"/>
      <c r="K376" s="135"/>
    </row>
    <row r="377" spans="3:11" hidden="1">
      <c r="C377" s="108">
        <v>41806</v>
      </c>
      <c r="D377" s="102">
        <v>5208.1499999999996</v>
      </c>
      <c r="E377" s="102">
        <v>1307.0999999999999</v>
      </c>
      <c r="F377" s="102">
        <v>5.5</v>
      </c>
      <c r="G377" s="102">
        <f t="shared" si="53"/>
        <v>6520.75</v>
      </c>
      <c r="H377" s="98"/>
      <c r="I377" s="122"/>
      <c r="J377" s="135"/>
      <c r="K377" s="135"/>
    </row>
    <row r="378" spans="3:11" hidden="1">
      <c r="C378" s="108">
        <v>41835</v>
      </c>
      <c r="D378" s="102">
        <v>5375.17</v>
      </c>
      <c r="E378" s="102">
        <v>1140.08</v>
      </c>
      <c r="F378" s="102">
        <v>5.5</v>
      </c>
      <c r="G378" s="102">
        <f t="shared" si="53"/>
        <v>6520.75</v>
      </c>
      <c r="H378" s="98"/>
      <c r="I378" s="122"/>
      <c r="J378" s="135"/>
      <c r="K378" s="135"/>
    </row>
    <row r="379" spans="3:11" hidden="1">
      <c r="C379" s="108">
        <v>41866</v>
      </c>
      <c r="D379" s="102">
        <v>5344.72</v>
      </c>
      <c r="E379" s="102">
        <v>1170.53</v>
      </c>
      <c r="F379" s="102">
        <v>5.5</v>
      </c>
      <c r="G379" s="102">
        <f t="shared" si="53"/>
        <v>6520.75</v>
      </c>
      <c r="H379" s="98"/>
      <c r="I379" s="122"/>
      <c r="J379" s="135"/>
      <c r="K379" s="135"/>
    </row>
    <row r="380" spans="3:11" hidden="1">
      <c r="C380" s="108">
        <v>41897</v>
      </c>
      <c r="D380" s="102">
        <v>5392.96</v>
      </c>
      <c r="E380" s="102">
        <v>1122.29</v>
      </c>
      <c r="F380" s="102">
        <v>5.5</v>
      </c>
      <c r="G380" s="102">
        <f t="shared" si="53"/>
        <v>6520.75</v>
      </c>
      <c r="H380" s="98"/>
      <c r="I380" s="122"/>
      <c r="J380" s="135"/>
      <c r="K380" s="135"/>
    </row>
    <row r="381" spans="3:11" hidden="1">
      <c r="C381" s="108">
        <v>41927</v>
      </c>
      <c r="D381" s="102">
        <v>5476.43</v>
      </c>
      <c r="E381" s="102">
        <v>1038.82</v>
      </c>
      <c r="F381" s="102">
        <v>5.5</v>
      </c>
      <c r="G381" s="102">
        <f t="shared" si="53"/>
        <v>6520.75</v>
      </c>
      <c r="H381" s="98"/>
      <c r="I381" s="122"/>
      <c r="J381" s="135"/>
      <c r="K381" s="135"/>
    </row>
    <row r="382" spans="3:11" hidden="1">
      <c r="C382" s="108">
        <v>41960</v>
      </c>
      <c r="D382" s="102">
        <v>5424.69</v>
      </c>
      <c r="E382" s="102">
        <v>1090.56</v>
      </c>
      <c r="F382" s="102">
        <v>5.5</v>
      </c>
      <c r="G382" s="102">
        <f t="shared" si="53"/>
        <v>6520.75</v>
      </c>
      <c r="H382" s="98"/>
      <c r="I382" s="122"/>
      <c r="J382" s="135"/>
      <c r="K382" s="135"/>
    </row>
    <row r="383" spans="3:11" hidden="1">
      <c r="C383" s="108">
        <v>41988</v>
      </c>
      <c r="D383" s="102">
        <v>5634.81</v>
      </c>
      <c r="E383" s="102">
        <v>880.44</v>
      </c>
      <c r="F383" s="102">
        <v>5.5</v>
      </c>
      <c r="G383" s="102">
        <f t="shared" si="53"/>
        <v>6520.75</v>
      </c>
      <c r="H383" s="98"/>
      <c r="I383" s="122"/>
      <c r="J383" s="135"/>
      <c r="K383" s="135"/>
    </row>
    <row r="384" spans="3:11" hidden="1">
      <c r="C384" s="108">
        <v>42019</v>
      </c>
      <c r="D384" s="102">
        <v>5590.92</v>
      </c>
      <c r="E384" s="102">
        <v>924.33</v>
      </c>
      <c r="F384" s="102">
        <v>5.5</v>
      </c>
      <c r="G384" s="102">
        <f t="shared" si="53"/>
        <v>6520.75</v>
      </c>
      <c r="H384" s="98"/>
      <c r="I384" s="122"/>
      <c r="J384" s="135"/>
      <c r="K384" s="135"/>
    </row>
    <row r="385" spans="3:11" hidden="1">
      <c r="C385" s="108">
        <v>42051</v>
      </c>
      <c r="D385" s="102">
        <v>5613.07</v>
      </c>
      <c r="E385" s="102">
        <v>902.18</v>
      </c>
      <c r="F385" s="102">
        <v>5.5</v>
      </c>
      <c r="G385" s="102">
        <f t="shared" si="53"/>
        <v>6520.75</v>
      </c>
      <c r="H385" s="98"/>
      <c r="I385" s="122"/>
      <c r="J385" s="135"/>
      <c r="K385" s="135"/>
    </row>
    <row r="386" spans="3:11" hidden="1">
      <c r="C386" s="108">
        <v>42079</v>
      </c>
      <c r="D386" s="102">
        <v>5772.04</v>
      </c>
      <c r="E386" s="102">
        <v>743.21</v>
      </c>
      <c r="F386" s="102">
        <v>5.5</v>
      </c>
      <c r="G386" s="102">
        <f t="shared" si="53"/>
        <v>6520.75</v>
      </c>
      <c r="H386" s="98"/>
      <c r="I386" s="122"/>
      <c r="J386" s="135"/>
      <c r="K386" s="135"/>
    </row>
    <row r="387" spans="3:11" hidden="1">
      <c r="C387" s="108">
        <v>42109</v>
      </c>
      <c r="D387" s="102">
        <v>5769.14</v>
      </c>
      <c r="E387" s="102">
        <v>746.11</v>
      </c>
      <c r="F387" s="102">
        <v>5.5</v>
      </c>
      <c r="G387" s="102">
        <f t="shared" si="53"/>
        <v>6520.75</v>
      </c>
      <c r="H387" s="98"/>
      <c r="I387" s="122"/>
      <c r="J387" s="135"/>
      <c r="K387" s="135"/>
    </row>
    <row r="388" spans="3:11" hidden="1">
      <c r="C388" s="108">
        <v>42139</v>
      </c>
      <c r="D388" s="102">
        <v>5819.53</v>
      </c>
      <c r="E388" s="102">
        <v>695.72</v>
      </c>
      <c r="F388" s="102">
        <v>5.5</v>
      </c>
      <c r="G388" s="102">
        <f t="shared" si="53"/>
        <v>6520.75</v>
      </c>
      <c r="H388" s="98"/>
      <c r="I388" s="122"/>
      <c r="J388" s="135"/>
      <c r="K388" s="135"/>
    </row>
    <row r="389" spans="3:11" hidden="1">
      <c r="C389" s="108">
        <v>42170</v>
      </c>
      <c r="D389" s="102">
        <v>5848.77</v>
      </c>
      <c r="E389" s="102">
        <v>666.48</v>
      </c>
      <c r="F389" s="102">
        <v>5.5</v>
      </c>
      <c r="G389" s="102">
        <f t="shared" si="53"/>
        <v>6520.75</v>
      </c>
      <c r="H389" s="98"/>
      <c r="I389" s="122"/>
      <c r="J389" s="135"/>
      <c r="K389" s="135"/>
    </row>
    <row r="390" spans="3:11" hidden="1">
      <c r="C390" s="108">
        <v>42200</v>
      </c>
      <c r="D390" s="102">
        <v>5921.45</v>
      </c>
      <c r="E390" s="102">
        <v>593.79999999999995</v>
      </c>
      <c r="F390" s="102">
        <v>5.5</v>
      </c>
      <c r="G390" s="102">
        <f t="shared" si="53"/>
        <v>6520.75</v>
      </c>
      <c r="H390" s="98"/>
      <c r="I390" s="122"/>
      <c r="J390" s="135"/>
      <c r="K390" s="135"/>
    </row>
    <row r="391" spans="3:11" hidden="1">
      <c r="C391" s="108">
        <v>42233</v>
      </c>
      <c r="D391" s="102">
        <v>5918.71</v>
      </c>
      <c r="E391" s="102">
        <v>596.54</v>
      </c>
      <c r="F391" s="102">
        <v>5.5</v>
      </c>
      <c r="G391" s="102">
        <f t="shared" si="53"/>
        <v>6520.75</v>
      </c>
      <c r="H391" s="98"/>
      <c r="I391" s="122"/>
      <c r="J391" s="135"/>
      <c r="K391" s="135"/>
    </row>
    <row r="392" spans="3:11" hidden="1">
      <c r="C392" s="108">
        <v>42262</v>
      </c>
      <c r="D392" s="102">
        <v>6041.29</v>
      </c>
      <c r="E392" s="102">
        <v>473.96</v>
      </c>
      <c r="F392" s="102">
        <v>5.5</v>
      </c>
      <c r="G392" s="102">
        <f t="shared" si="53"/>
        <v>6520.75</v>
      </c>
      <c r="H392" s="98"/>
      <c r="I392" s="122"/>
      <c r="J392" s="135"/>
      <c r="K392" s="135"/>
    </row>
    <row r="393" spans="3:11" hidden="1">
      <c r="C393" s="108">
        <v>42292</v>
      </c>
      <c r="D393" s="102">
        <v>6077.64</v>
      </c>
      <c r="E393" s="102">
        <v>437.61</v>
      </c>
      <c r="F393" s="102">
        <v>5.5</v>
      </c>
      <c r="G393" s="102">
        <f t="shared" si="53"/>
        <v>6520.75</v>
      </c>
      <c r="H393" s="98"/>
      <c r="I393" s="122"/>
      <c r="J393" s="135"/>
      <c r="K393" s="135"/>
    </row>
    <row r="394" spans="3:11" hidden="1">
      <c r="C394" s="108">
        <v>42324</v>
      </c>
      <c r="D394" s="102">
        <v>6104.97</v>
      </c>
      <c r="E394" s="102">
        <v>410.28</v>
      </c>
      <c r="F394" s="102">
        <v>5.5</v>
      </c>
      <c r="G394" s="102">
        <f t="shared" si="53"/>
        <v>6520.75</v>
      </c>
      <c r="H394" s="98"/>
      <c r="I394" s="122"/>
      <c r="J394" s="135"/>
      <c r="K394" s="135"/>
    </row>
    <row r="395" spans="3:11" hidden="1">
      <c r="C395" s="108">
        <v>42353</v>
      </c>
      <c r="D395" s="102">
        <v>6195.14</v>
      </c>
      <c r="E395" s="102">
        <v>320.11</v>
      </c>
      <c r="F395" s="102">
        <v>5.5</v>
      </c>
      <c r="G395" s="102">
        <f t="shared" si="53"/>
        <v>6520.75</v>
      </c>
      <c r="H395" s="98"/>
      <c r="I395" s="122"/>
      <c r="J395" s="135"/>
      <c r="K395" s="135"/>
    </row>
    <row r="396" spans="3:11" hidden="1">
      <c r="C396" s="108">
        <v>42384</v>
      </c>
      <c r="D396" s="102">
        <v>6228.88</v>
      </c>
      <c r="E396" s="102">
        <v>286.37</v>
      </c>
      <c r="F396" s="102">
        <v>5.5</v>
      </c>
      <c r="G396" s="102">
        <f t="shared" si="53"/>
        <v>6520.75</v>
      </c>
      <c r="H396" s="98"/>
      <c r="I396" s="122"/>
      <c r="J396" s="135"/>
      <c r="K396" s="135"/>
    </row>
    <row r="397" spans="3:11" hidden="1">
      <c r="C397" s="108">
        <v>42415</v>
      </c>
      <c r="D397" s="102">
        <v>6285.11</v>
      </c>
      <c r="E397" s="102">
        <v>230.14</v>
      </c>
      <c r="F397" s="102">
        <v>5.5</v>
      </c>
      <c r="G397" s="102">
        <f t="shared" si="53"/>
        <v>6520.75</v>
      </c>
      <c r="H397" s="98"/>
      <c r="I397" s="122"/>
      <c r="J397" s="135"/>
      <c r="K397" s="135"/>
    </row>
    <row r="398" spans="3:11" hidden="1">
      <c r="C398" s="108">
        <v>42444</v>
      </c>
      <c r="D398" s="102">
        <v>6353.08</v>
      </c>
      <c r="E398" s="102">
        <v>162.16999999999999</v>
      </c>
      <c r="F398" s="102">
        <v>5.5</v>
      </c>
      <c r="G398" s="102">
        <f t="shared" si="53"/>
        <v>6520.75</v>
      </c>
      <c r="H398" s="98"/>
      <c r="I398" s="122"/>
      <c r="J398" s="135"/>
      <c r="K398" s="135"/>
    </row>
    <row r="399" spans="3:11" hidden="1">
      <c r="C399" s="108">
        <v>42475</v>
      </c>
      <c r="D399" s="102">
        <v>6399.2</v>
      </c>
      <c r="E399" s="102">
        <v>116.05</v>
      </c>
      <c r="F399" s="102">
        <v>5.5</v>
      </c>
      <c r="G399" s="102">
        <f t="shared" si="53"/>
        <v>6520.75</v>
      </c>
      <c r="H399" s="98"/>
      <c r="I399" s="122"/>
      <c r="J399" s="135"/>
      <c r="K399" s="135"/>
    </row>
    <row r="400" spans="3:11" hidden="1">
      <c r="C400" s="108">
        <v>42506</v>
      </c>
      <c r="D400" s="102">
        <v>6456.85</v>
      </c>
      <c r="E400" s="102">
        <v>58.29</v>
      </c>
      <c r="F400" s="102">
        <v>5.5</v>
      </c>
      <c r="G400" s="102">
        <f t="shared" si="53"/>
        <v>6520.64</v>
      </c>
      <c r="H400" s="98"/>
      <c r="I400" s="122"/>
      <c r="J400" s="135"/>
      <c r="K400" s="135"/>
    </row>
    <row r="401" spans="3:18" hidden="1">
      <c r="D401" s="138">
        <f>SUM(D365:D400)</f>
        <v>200000</v>
      </c>
      <c r="E401" s="138">
        <f>SUM(E365:E400)</f>
        <v>34548.890000000007</v>
      </c>
      <c r="F401" s="138">
        <f>SUM(F365:F400)</f>
        <v>198</v>
      </c>
      <c r="G401" s="138">
        <f>SUM(G365:G400)</f>
        <v>234746.89</v>
      </c>
    </row>
    <row r="402" spans="3:18" hidden="1"/>
    <row r="403" spans="3:18" hidden="1"/>
    <row r="404" spans="3:18" hidden="1"/>
    <row r="405" spans="3:18" hidden="1"/>
    <row r="406" spans="3:18" hidden="1">
      <c r="C406" s="98" t="s">
        <v>240</v>
      </c>
      <c r="D406" s="98"/>
      <c r="E406" s="98"/>
      <c r="F406" s="98"/>
      <c r="G406" s="98"/>
    </row>
    <row r="407" spans="3:18" hidden="1">
      <c r="C407" s="159" t="s">
        <v>249</v>
      </c>
      <c r="D407" s="143">
        <v>63978</v>
      </c>
      <c r="E407" s="149"/>
      <c r="F407" s="149"/>
      <c r="G407" s="144">
        <v>41409</v>
      </c>
      <c r="P407" s="124">
        <v>1011</v>
      </c>
      <c r="Q407" s="103">
        <f>+R409-Q408</f>
        <v>166342.79999999999</v>
      </c>
      <c r="R407" s="124"/>
    </row>
    <row r="408" spans="3:18" hidden="1">
      <c r="C408" s="108"/>
      <c r="D408" s="98"/>
      <c r="E408" s="98"/>
      <c r="F408" s="98"/>
      <c r="G408" s="98"/>
      <c r="P408" s="124">
        <v>1811</v>
      </c>
      <c r="Q408" s="103">
        <f>+J443+K443</f>
        <v>31588.232</v>
      </c>
      <c r="R408" s="124"/>
    </row>
    <row r="409" spans="3:18" hidden="1">
      <c r="C409" s="108">
        <v>41501</v>
      </c>
      <c r="D409" s="102">
        <v>1599.66</v>
      </c>
      <c r="E409" s="102">
        <v>1804.75</v>
      </c>
      <c r="F409" s="102">
        <v>1.5</v>
      </c>
      <c r="G409" s="102">
        <f t="shared" ref="G409:G442" si="54">SUM(D409:F409)</f>
        <v>3405.91</v>
      </c>
      <c r="H409" s="160">
        <v>2.6</v>
      </c>
      <c r="I409" s="137">
        <f>+H409*D409</f>
        <v>4159.116</v>
      </c>
      <c r="J409" s="137">
        <f>+H409*E409</f>
        <v>4692.3500000000004</v>
      </c>
      <c r="K409" s="137">
        <f>+H409*F409</f>
        <v>3.9000000000000004</v>
      </c>
      <c r="L409" s="137">
        <f>SUM(I409:K409)</f>
        <v>8855.366</v>
      </c>
      <c r="M409" s="139"/>
      <c r="N409" s="139"/>
      <c r="O409" s="140"/>
      <c r="P409" s="124">
        <v>4511</v>
      </c>
      <c r="Q409" s="124"/>
      <c r="R409" s="103">
        <f>+L443</f>
        <v>197931.03199999998</v>
      </c>
    </row>
    <row r="410" spans="3:18" hidden="1">
      <c r="C410" s="108">
        <v>41533</v>
      </c>
      <c r="D410" s="102">
        <v>1595.68</v>
      </c>
      <c r="E410" s="102">
        <v>606.5</v>
      </c>
      <c r="F410" s="102">
        <v>1.5</v>
      </c>
      <c r="G410" s="102">
        <f t="shared" si="54"/>
        <v>2203.6800000000003</v>
      </c>
      <c r="H410" s="160">
        <v>2.6</v>
      </c>
      <c r="I410" s="137">
        <f t="shared" ref="I410:I442" si="55">+H410*D410</f>
        <v>4148.768</v>
      </c>
      <c r="J410" s="137">
        <f t="shared" ref="J410:J442" si="56">+H410*E410</f>
        <v>1576.9</v>
      </c>
      <c r="K410" s="137">
        <f t="shared" ref="K410:K442" si="57">+H410*F410</f>
        <v>3.9000000000000004</v>
      </c>
      <c r="L410" s="137">
        <f t="shared" ref="L410:L441" si="58">SUM(I410:K410)</f>
        <v>5729.5679999999993</v>
      </c>
      <c r="M410" s="139"/>
      <c r="N410" s="139"/>
      <c r="O410" s="140"/>
    </row>
    <row r="411" spans="3:18" hidden="1">
      <c r="C411" s="108">
        <v>41562</v>
      </c>
      <c r="D411" s="102">
        <v>1666.84</v>
      </c>
      <c r="E411" s="102">
        <v>535.34</v>
      </c>
      <c r="F411" s="102">
        <v>1.5</v>
      </c>
      <c r="G411" s="102">
        <f t="shared" si="54"/>
        <v>2203.6799999999998</v>
      </c>
      <c r="H411" s="160">
        <v>2.6</v>
      </c>
      <c r="I411" s="137">
        <f t="shared" si="55"/>
        <v>4333.7839999999997</v>
      </c>
      <c r="J411" s="137">
        <f t="shared" si="56"/>
        <v>1391.8840000000002</v>
      </c>
      <c r="K411" s="137">
        <f t="shared" si="57"/>
        <v>3.9000000000000004</v>
      </c>
      <c r="L411" s="137">
        <f t="shared" si="58"/>
        <v>5729.5679999999993</v>
      </c>
      <c r="M411" s="139"/>
      <c r="N411" s="139"/>
      <c r="O411" s="140"/>
    </row>
    <row r="412" spans="3:18" hidden="1">
      <c r="C412" s="108">
        <v>41593</v>
      </c>
      <c r="D412" s="102">
        <v>1645.45</v>
      </c>
      <c r="E412" s="102">
        <v>556.73</v>
      </c>
      <c r="F412" s="102">
        <v>1.5</v>
      </c>
      <c r="G412" s="102">
        <f t="shared" si="54"/>
        <v>2203.6800000000003</v>
      </c>
      <c r="H412" s="160">
        <v>2.6</v>
      </c>
      <c r="I412" s="137">
        <f t="shared" si="55"/>
        <v>4278.17</v>
      </c>
      <c r="J412" s="137">
        <f t="shared" si="56"/>
        <v>1447.498</v>
      </c>
      <c r="K412" s="137">
        <f t="shared" si="57"/>
        <v>3.9000000000000004</v>
      </c>
      <c r="L412" s="137">
        <f t="shared" si="58"/>
        <v>5729.5679999999993</v>
      </c>
      <c r="M412" s="139"/>
      <c r="N412" s="139"/>
      <c r="O412" s="140"/>
    </row>
    <row r="413" spans="3:18" hidden="1">
      <c r="C413" s="108">
        <v>41624</v>
      </c>
      <c r="D413" s="102">
        <v>1660.94</v>
      </c>
      <c r="E413" s="102">
        <v>541.34</v>
      </c>
      <c r="F413" s="102">
        <v>1.5</v>
      </c>
      <c r="G413" s="102">
        <f t="shared" si="54"/>
        <v>2203.7800000000002</v>
      </c>
      <c r="H413" s="160">
        <v>2.6</v>
      </c>
      <c r="I413" s="137">
        <f t="shared" si="55"/>
        <v>4318.4440000000004</v>
      </c>
      <c r="J413" s="137">
        <f t="shared" si="56"/>
        <v>1407.4840000000002</v>
      </c>
      <c r="K413" s="137">
        <f t="shared" si="57"/>
        <v>3.9000000000000004</v>
      </c>
      <c r="L413" s="137">
        <f t="shared" si="58"/>
        <v>5729.8280000000004</v>
      </c>
      <c r="M413" s="139"/>
      <c r="N413" s="139"/>
      <c r="O413" s="140"/>
    </row>
    <row r="414" spans="3:18" hidden="1">
      <c r="C414" s="108">
        <v>41654</v>
      </c>
      <c r="D414" s="102">
        <v>1693.62</v>
      </c>
      <c r="E414" s="102">
        <v>508.56</v>
      </c>
      <c r="F414" s="102">
        <v>1.5</v>
      </c>
      <c r="G414" s="102">
        <f t="shared" si="54"/>
        <v>2203.6799999999998</v>
      </c>
      <c r="H414" s="160">
        <v>2.6</v>
      </c>
      <c r="I414" s="137">
        <f t="shared" si="55"/>
        <v>4403.4120000000003</v>
      </c>
      <c r="J414" s="137">
        <f t="shared" si="56"/>
        <v>1322.2560000000001</v>
      </c>
      <c r="K414" s="137">
        <f t="shared" si="57"/>
        <v>3.9000000000000004</v>
      </c>
      <c r="L414" s="137">
        <f t="shared" si="58"/>
        <v>5729.5680000000002</v>
      </c>
      <c r="M414" s="139"/>
      <c r="N414" s="139"/>
      <c r="O414" s="140"/>
    </row>
    <row r="415" spans="3:18" hidden="1">
      <c r="C415" s="108">
        <v>41687</v>
      </c>
      <c r="D415" s="102">
        <v>1659.49</v>
      </c>
      <c r="E415" s="102">
        <v>542.69000000000005</v>
      </c>
      <c r="F415" s="102">
        <v>1.5</v>
      </c>
      <c r="G415" s="102">
        <f t="shared" si="54"/>
        <v>2203.6800000000003</v>
      </c>
      <c r="H415" s="160">
        <v>2.6</v>
      </c>
      <c r="I415" s="137">
        <f t="shared" si="55"/>
        <v>4314.674</v>
      </c>
      <c r="J415" s="137">
        <f t="shared" si="56"/>
        <v>1410.9940000000001</v>
      </c>
      <c r="K415" s="137">
        <f t="shared" si="57"/>
        <v>3.9000000000000004</v>
      </c>
      <c r="L415" s="137">
        <f t="shared" si="58"/>
        <v>5729.5679999999993</v>
      </c>
      <c r="M415" s="139"/>
      <c r="N415" s="139"/>
      <c r="O415" s="140"/>
    </row>
    <row r="416" spans="3:18" hidden="1">
      <c r="C416" s="108">
        <v>41715</v>
      </c>
      <c r="D416" s="102">
        <v>1756.18</v>
      </c>
      <c r="E416" s="102">
        <v>446</v>
      </c>
      <c r="F416" s="102">
        <v>1.5</v>
      </c>
      <c r="G416" s="102">
        <f t="shared" si="54"/>
        <v>2203.6800000000003</v>
      </c>
      <c r="H416" s="160">
        <v>2.6</v>
      </c>
      <c r="I416" s="137">
        <f t="shared" si="55"/>
        <v>4566.0680000000002</v>
      </c>
      <c r="J416" s="137">
        <f t="shared" si="56"/>
        <v>1159.6000000000001</v>
      </c>
      <c r="K416" s="137">
        <f t="shared" si="57"/>
        <v>3.9000000000000004</v>
      </c>
      <c r="L416" s="137">
        <f t="shared" si="58"/>
        <v>5729.5680000000002</v>
      </c>
      <c r="M416" s="139"/>
      <c r="N416" s="139"/>
      <c r="O416" s="140"/>
    </row>
    <row r="417" spans="3:15" hidden="1">
      <c r="C417" s="108">
        <v>41744</v>
      </c>
      <c r="D417" s="102">
        <v>1755.64</v>
      </c>
      <c r="E417" s="102">
        <v>446.54</v>
      </c>
      <c r="F417" s="102">
        <v>1.5</v>
      </c>
      <c r="G417" s="102">
        <f t="shared" si="54"/>
        <v>2203.6800000000003</v>
      </c>
      <c r="H417" s="160">
        <v>2.6</v>
      </c>
      <c r="I417" s="137">
        <f t="shared" si="55"/>
        <v>4564.6640000000007</v>
      </c>
      <c r="J417" s="137">
        <f t="shared" si="56"/>
        <v>1161.0040000000001</v>
      </c>
      <c r="K417" s="137">
        <f t="shared" si="57"/>
        <v>3.9000000000000004</v>
      </c>
      <c r="L417" s="137">
        <f t="shared" si="58"/>
        <v>5729.5680000000002</v>
      </c>
      <c r="M417" s="139"/>
      <c r="N417" s="139"/>
      <c r="O417" s="140"/>
    </row>
    <row r="418" spans="3:15" hidden="1">
      <c r="C418" s="108">
        <v>41774</v>
      </c>
      <c r="D418" s="102">
        <v>1756.17</v>
      </c>
      <c r="E418" s="102">
        <v>446.01</v>
      </c>
      <c r="F418" s="102">
        <v>1.5</v>
      </c>
      <c r="G418" s="102">
        <f t="shared" si="54"/>
        <v>2203.6800000000003</v>
      </c>
      <c r="H418" s="160">
        <v>2.6</v>
      </c>
      <c r="I418" s="137">
        <f t="shared" si="55"/>
        <v>4566.0420000000004</v>
      </c>
      <c r="J418" s="137">
        <f t="shared" si="56"/>
        <v>1159.626</v>
      </c>
      <c r="K418" s="137">
        <f t="shared" si="57"/>
        <v>3.9000000000000004</v>
      </c>
      <c r="L418" s="137">
        <f t="shared" si="58"/>
        <v>5729.5680000000002</v>
      </c>
      <c r="M418" s="139"/>
      <c r="N418" s="139"/>
      <c r="O418" s="140"/>
    </row>
    <row r="419" spans="3:15" hidden="1">
      <c r="C419" s="108">
        <v>41806</v>
      </c>
      <c r="D419" s="102">
        <v>1743.37</v>
      </c>
      <c r="E419" s="102">
        <v>458.81</v>
      </c>
      <c r="F419" s="102">
        <v>1.5</v>
      </c>
      <c r="G419" s="102">
        <f t="shared" si="54"/>
        <v>2203.6799999999998</v>
      </c>
      <c r="H419" s="160">
        <v>2.6</v>
      </c>
      <c r="I419" s="137">
        <f t="shared" si="55"/>
        <v>4532.7619999999997</v>
      </c>
      <c r="J419" s="137">
        <f t="shared" si="56"/>
        <v>1192.9059999999999</v>
      </c>
      <c r="K419" s="137">
        <f t="shared" si="57"/>
        <v>3.9000000000000004</v>
      </c>
      <c r="L419" s="137">
        <f t="shared" si="58"/>
        <v>5729.5679999999993</v>
      </c>
      <c r="M419" s="139"/>
      <c r="N419" s="139"/>
      <c r="O419" s="140"/>
    </row>
    <row r="420" spans="3:15" hidden="1">
      <c r="C420" s="108">
        <v>41835</v>
      </c>
      <c r="D420" s="102">
        <v>1801.93</v>
      </c>
      <c r="E420" s="102">
        <v>400.25</v>
      </c>
      <c r="F420" s="102">
        <v>1.5</v>
      </c>
      <c r="G420" s="102">
        <f t="shared" si="54"/>
        <v>2203.6800000000003</v>
      </c>
      <c r="H420" s="160">
        <v>2.6</v>
      </c>
      <c r="I420" s="137">
        <f t="shared" si="55"/>
        <v>4685.018</v>
      </c>
      <c r="J420" s="137">
        <f t="shared" si="56"/>
        <v>1040.6500000000001</v>
      </c>
      <c r="K420" s="137">
        <f t="shared" si="57"/>
        <v>3.9000000000000004</v>
      </c>
      <c r="L420" s="137">
        <f t="shared" si="58"/>
        <v>5729.5679999999993</v>
      </c>
      <c r="M420" s="139"/>
      <c r="N420" s="139"/>
      <c r="O420" s="140"/>
    </row>
    <row r="421" spans="3:15" hidden="1">
      <c r="C421" s="108">
        <v>41866</v>
      </c>
      <c r="D421" s="102">
        <v>1791.17</v>
      </c>
      <c r="E421" s="102">
        <v>411.01</v>
      </c>
      <c r="F421" s="102">
        <v>1.5</v>
      </c>
      <c r="G421" s="102">
        <f t="shared" si="54"/>
        <v>2203.6800000000003</v>
      </c>
      <c r="H421" s="160">
        <v>2.6</v>
      </c>
      <c r="I421" s="137">
        <f t="shared" si="55"/>
        <v>4657.0420000000004</v>
      </c>
      <c r="J421" s="137">
        <f t="shared" si="56"/>
        <v>1068.626</v>
      </c>
      <c r="K421" s="137">
        <f t="shared" si="57"/>
        <v>3.9000000000000004</v>
      </c>
      <c r="L421" s="137">
        <f t="shared" si="58"/>
        <v>5729.5680000000002</v>
      </c>
      <c r="M421" s="139"/>
      <c r="N421" s="139"/>
      <c r="O421" s="140"/>
    </row>
    <row r="422" spans="3:15" hidden="1">
      <c r="C422" s="108">
        <v>41897</v>
      </c>
      <c r="D422" s="102">
        <v>1808.03</v>
      </c>
      <c r="E422" s="102">
        <v>394.15</v>
      </c>
      <c r="F422" s="102">
        <v>1.5</v>
      </c>
      <c r="G422" s="102">
        <f t="shared" si="54"/>
        <v>2203.6799999999998</v>
      </c>
      <c r="H422" s="160">
        <v>2.6</v>
      </c>
      <c r="I422" s="137">
        <f t="shared" si="55"/>
        <v>4700.8779999999997</v>
      </c>
      <c r="J422" s="137">
        <f t="shared" si="56"/>
        <v>1024.79</v>
      </c>
      <c r="K422" s="137">
        <f t="shared" si="57"/>
        <v>3.9000000000000004</v>
      </c>
      <c r="L422" s="137">
        <f t="shared" si="58"/>
        <v>5729.5679999999993</v>
      </c>
      <c r="M422" s="139"/>
      <c r="N422" s="139"/>
      <c r="O422" s="140"/>
    </row>
    <row r="423" spans="3:15" hidden="1">
      <c r="C423" s="108">
        <v>41927</v>
      </c>
      <c r="D423" s="102">
        <v>1837.28</v>
      </c>
      <c r="E423" s="102">
        <v>364.9</v>
      </c>
      <c r="F423" s="102">
        <v>1.5</v>
      </c>
      <c r="G423" s="102">
        <f t="shared" si="54"/>
        <v>2203.6799999999998</v>
      </c>
      <c r="H423" s="160">
        <v>2.6</v>
      </c>
      <c r="I423" s="137">
        <f t="shared" si="55"/>
        <v>4776.9279999999999</v>
      </c>
      <c r="J423" s="137">
        <f t="shared" si="56"/>
        <v>948.74</v>
      </c>
      <c r="K423" s="137">
        <f t="shared" si="57"/>
        <v>3.9000000000000004</v>
      </c>
      <c r="L423" s="137">
        <f t="shared" si="58"/>
        <v>5729.5679999999993</v>
      </c>
      <c r="M423" s="139"/>
      <c r="N423" s="139"/>
      <c r="O423" s="140"/>
    </row>
    <row r="424" spans="3:15" hidden="1">
      <c r="C424" s="108">
        <v>41960</v>
      </c>
      <c r="D424" s="102">
        <v>1819.03</v>
      </c>
      <c r="E424" s="102">
        <v>383.15</v>
      </c>
      <c r="F424" s="102">
        <v>1.5</v>
      </c>
      <c r="G424" s="102">
        <f t="shared" si="54"/>
        <v>2203.6799999999998</v>
      </c>
      <c r="H424" s="160">
        <v>2.6</v>
      </c>
      <c r="I424" s="137">
        <f t="shared" si="55"/>
        <v>4729.4780000000001</v>
      </c>
      <c r="J424" s="137">
        <f t="shared" si="56"/>
        <v>996.18999999999994</v>
      </c>
      <c r="K424" s="137">
        <f t="shared" si="57"/>
        <v>3.9000000000000004</v>
      </c>
      <c r="L424" s="137">
        <f t="shared" si="58"/>
        <v>5729.5679999999993</v>
      </c>
      <c r="M424" s="139"/>
      <c r="N424" s="139"/>
      <c r="O424" s="140"/>
    </row>
    <row r="425" spans="3:15" hidden="1">
      <c r="C425" s="108">
        <v>41988</v>
      </c>
      <c r="D425" s="102">
        <v>1892.8</v>
      </c>
      <c r="E425" s="102">
        <v>309.38</v>
      </c>
      <c r="F425" s="102">
        <v>1.5</v>
      </c>
      <c r="G425" s="102">
        <f t="shared" si="54"/>
        <v>2203.6799999999998</v>
      </c>
      <c r="H425" s="160">
        <v>2.6</v>
      </c>
      <c r="I425" s="137">
        <f t="shared" si="55"/>
        <v>4921.28</v>
      </c>
      <c r="J425" s="137">
        <f t="shared" si="56"/>
        <v>804.38800000000003</v>
      </c>
      <c r="K425" s="137">
        <f t="shared" si="57"/>
        <v>3.9000000000000004</v>
      </c>
      <c r="L425" s="137">
        <f t="shared" si="58"/>
        <v>5729.5679999999993</v>
      </c>
      <c r="M425" s="139"/>
      <c r="N425" s="139"/>
      <c r="O425" s="140"/>
    </row>
    <row r="426" spans="3:15" hidden="1">
      <c r="C426" s="108">
        <v>42019</v>
      </c>
      <c r="D426" s="102">
        <v>1877.32</v>
      </c>
      <c r="E426" s="102">
        <v>324.86</v>
      </c>
      <c r="F426" s="102">
        <v>1.5</v>
      </c>
      <c r="G426" s="102">
        <f t="shared" si="54"/>
        <v>2203.6799999999998</v>
      </c>
      <c r="H426" s="160">
        <v>2.6</v>
      </c>
      <c r="I426" s="137">
        <f t="shared" si="55"/>
        <v>4881.0320000000002</v>
      </c>
      <c r="J426" s="137">
        <f t="shared" si="56"/>
        <v>844.63600000000008</v>
      </c>
      <c r="K426" s="137">
        <f t="shared" si="57"/>
        <v>3.9000000000000004</v>
      </c>
      <c r="L426" s="137">
        <f t="shared" si="58"/>
        <v>5729.5680000000002</v>
      </c>
      <c r="M426" s="139"/>
      <c r="N426" s="139"/>
      <c r="O426" s="140"/>
    </row>
    <row r="427" spans="3:15" hidden="1">
      <c r="C427" s="108">
        <v>42051</v>
      </c>
      <c r="D427" s="136">
        <v>1885.04</v>
      </c>
      <c r="E427" s="102">
        <v>317.14</v>
      </c>
      <c r="F427" s="102">
        <v>1.5</v>
      </c>
      <c r="G427" s="102">
        <f t="shared" si="54"/>
        <v>2203.6799999999998</v>
      </c>
      <c r="H427" s="160">
        <v>2.6</v>
      </c>
      <c r="I427" s="137">
        <f t="shared" si="55"/>
        <v>4901.1040000000003</v>
      </c>
      <c r="J427" s="137">
        <f t="shared" si="56"/>
        <v>824.56399999999996</v>
      </c>
      <c r="K427" s="137">
        <f t="shared" si="57"/>
        <v>3.9000000000000004</v>
      </c>
      <c r="L427" s="137">
        <f t="shared" si="58"/>
        <v>5729.5680000000002</v>
      </c>
      <c r="M427" s="139"/>
      <c r="N427" s="139"/>
      <c r="O427" s="140"/>
    </row>
    <row r="428" spans="3:15" hidden="1">
      <c r="C428" s="108">
        <v>42079</v>
      </c>
      <c r="D428" s="102">
        <v>1940.88</v>
      </c>
      <c r="E428" s="102">
        <v>261.3</v>
      </c>
      <c r="F428" s="102">
        <v>1.5</v>
      </c>
      <c r="G428" s="102">
        <f t="shared" si="54"/>
        <v>2203.6800000000003</v>
      </c>
      <c r="H428" s="160">
        <v>2.6</v>
      </c>
      <c r="I428" s="137">
        <f t="shared" si="55"/>
        <v>5046.2880000000005</v>
      </c>
      <c r="J428" s="137">
        <f t="shared" si="56"/>
        <v>679.38000000000011</v>
      </c>
      <c r="K428" s="137">
        <f t="shared" si="57"/>
        <v>3.9000000000000004</v>
      </c>
      <c r="L428" s="137">
        <f t="shared" si="58"/>
        <v>5729.5680000000002</v>
      </c>
      <c r="M428" s="139"/>
      <c r="N428" s="139"/>
      <c r="O428" s="140"/>
    </row>
    <row r="429" spans="3:15" hidden="1">
      <c r="C429" s="108">
        <v>42109</v>
      </c>
      <c r="D429" s="102">
        <v>1939.82</v>
      </c>
      <c r="E429" s="102">
        <v>262.36</v>
      </c>
      <c r="F429" s="102">
        <v>1.5</v>
      </c>
      <c r="G429" s="102">
        <f t="shared" si="54"/>
        <v>2203.6799999999998</v>
      </c>
      <c r="H429" s="160">
        <v>2.6</v>
      </c>
      <c r="I429" s="137">
        <f t="shared" si="55"/>
        <v>5043.5320000000002</v>
      </c>
      <c r="J429" s="137">
        <f t="shared" si="56"/>
        <v>682.13600000000008</v>
      </c>
      <c r="K429" s="137">
        <f t="shared" si="57"/>
        <v>3.9000000000000004</v>
      </c>
      <c r="L429" s="137">
        <f t="shared" si="58"/>
        <v>5729.5680000000002</v>
      </c>
      <c r="M429" s="139"/>
      <c r="N429" s="139"/>
      <c r="O429" s="140"/>
    </row>
    <row r="430" spans="3:15" hidden="1">
      <c r="C430" s="108">
        <v>42139</v>
      </c>
      <c r="D430" s="102">
        <v>1957.5</v>
      </c>
      <c r="E430" s="102">
        <v>244.68</v>
      </c>
      <c r="F430" s="102">
        <v>1.5</v>
      </c>
      <c r="G430" s="102">
        <f t="shared" si="54"/>
        <v>2203.6799999999998</v>
      </c>
      <c r="H430" s="160">
        <v>2.6</v>
      </c>
      <c r="I430" s="137">
        <f t="shared" si="55"/>
        <v>5089.5</v>
      </c>
      <c r="J430" s="137">
        <f t="shared" si="56"/>
        <v>636.16800000000001</v>
      </c>
      <c r="K430" s="137">
        <f t="shared" si="57"/>
        <v>3.9000000000000004</v>
      </c>
      <c r="L430" s="137">
        <f t="shared" si="58"/>
        <v>5729.5679999999993</v>
      </c>
      <c r="M430" s="139"/>
      <c r="N430" s="139"/>
      <c r="O430" s="140"/>
    </row>
    <row r="431" spans="3:15" hidden="1">
      <c r="C431" s="108">
        <v>42170</v>
      </c>
      <c r="D431" s="102">
        <v>1967.74</v>
      </c>
      <c r="E431" s="102">
        <v>234.44</v>
      </c>
      <c r="F431" s="102">
        <v>1.5</v>
      </c>
      <c r="G431" s="102">
        <f t="shared" si="54"/>
        <v>2203.6799999999998</v>
      </c>
      <c r="H431" s="160">
        <v>2.6</v>
      </c>
      <c r="I431" s="137">
        <f t="shared" si="55"/>
        <v>5116.1239999999998</v>
      </c>
      <c r="J431" s="137">
        <f t="shared" si="56"/>
        <v>609.54399999999998</v>
      </c>
      <c r="K431" s="137">
        <f t="shared" si="57"/>
        <v>3.9000000000000004</v>
      </c>
      <c r="L431" s="137">
        <f t="shared" si="58"/>
        <v>5729.5679999999993</v>
      </c>
      <c r="M431" s="139"/>
      <c r="N431" s="139"/>
      <c r="O431" s="140"/>
    </row>
    <row r="432" spans="3:15" hidden="1">
      <c r="C432" s="108">
        <v>42200</v>
      </c>
      <c r="D432" s="102">
        <v>1993.26</v>
      </c>
      <c r="E432" s="102">
        <v>208.92</v>
      </c>
      <c r="F432" s="102">
        <v>1.5</v>
      </c>
      <c r="G432" s="102">
        <f t="shared" si="54"/>
        <v>2203.6799999999998</v>
      </c>
      <c r="H432" s="160">
        <v>2.6</v>
      </c>
      <c r="I432" s="137">
        <f t="shared" si="55"/>
        <v>5182.4760000000006</v>
      </c>
      <c r="J432" s="137">
        <f t="shared" si="56"/>
        <v>543.19200000000001</v>
      </c>
      <c r="K432" s="137">
        <f t="shared" si="57"/>
        <v>3.9000000000000004</v>
      </c>
      <c r="L432" s="137">
        <f t="shared" si="58"/>
        <v>5729.5680000000002</v>
      </c>
      <c r="M432" s="139"/>
      <c r="N432" s="139"/>
      <c r="O432" s="140"/>
    </row>
    <row r="433" spans="3:18" hidden="1">
      <c r="C433" s="108">
        <v>42233</v>
      </c>
      <c r="D433" s="102">
        <v>1992.26</v>
      </c>
      <c r="E433" s="102">
        <v>209.92</v>
      </c>
      <c r="F433" s="102">
        <v>1.5</v>
      </c>
      <c r="G433" s="102">
        <f t="shared" si="54"/>
        <v>2203.6799999999998</v>
      </c>
      <c r="H433" s="160">
        <v>2.6</v>
      </c>
      <c r="I433" s="137">
        <f t="shared" si="55"/>
        <v>5179.8760000000002</v>
      </c>
      <c r="J433" s="137">
        <f t="shared" si="56"/>
        <v>545.79200000000003</v>
      </c>
      <c r="K433" s="137">
        <f t="shared" si="57"/>
        <v>3.9000000000000004</v>
      </c>
      <c r="L433" s="137">
        <f t="shared" si="58"/>
        <v>5729.5680000000002</v>
      </c>
      <c r="M433" s="139"/>
      <c r="N433" s="139"/>
      <c r="O433" s="140"/>
    </row>
    <row r="434" spans="3:18" hidden="1">
      <c r="C434" s="108">
        <v>42262</v>
      </c>
      <c r="D434" s="102">
        <v>2035.36</v>
      </c>
      <c r="E434" s="102">
        <v>166.82</v>
      </c>
      <c r="F434" s="102">
        <v>1.5</v>
      </c>
      <c r="G434" s="102">
        <f t="shared" si="54"/>
        <v>2203.6799999999998</v>
      </c>
      <c r="H434" s="160">
        <v>2.6</v>
      </c>
      <c r="I434" s="137">
        <f t="shared" si="55"/>
        <v>5291.9359999999997</v>
      </c>
      <c r="J434" s="137">
        <f t="shared" si="56"/>
        <v>433.73199999999997</v>
      </c>
      <c r="K434" s="137">
        <f t="shared" si="57"/>
        <v>3.9000000000000004</v>
      </c>
      <c r="L434" s="137">
        <f t="shared" si="58"/>
        <v>5729.5679999999993</v>
      </c>
      <c r="M434" s="139"/>
      <c r="N434" s="139"/>
      <c r="O434" s="140"/>
    </row>
    <row r="435" spans="3:18" hidden="1">
      <c r="C435" s="108">
        <v>42292</v>
      </c>
      <c r="D435" s="102">
        <v>2048.13</v>
      </c>
      <c r="E435" s="102">
        <v>154.05000000000001</v>
      </c>
      <c r="F435" s="102">
        <v>1.5</v>
      </c>
      <c r="G435" s="102">
        <f t="shared" si="54"/>
        <v>2203.6800000000003</v>
      </c>
      <c r="H435" s="160">
        <v>2.6</v>
      </c>
      <c r="I435" s="137">
        <f t="shared" si="55"/>
        <v>5325.1380000000008</v>
      </c>
      <c r="J435" s="137">
        <f t="shared" si="56"/>
        <v>400.53000000000003</v>
      </c>
      <c r="K435" s="137">
        <f t="shared" si="57"/>
        <v>3.9000000000000004</v>
      </c>
      <c r="L435" s="137">
        <f t="shared" si="58"/>
        <v>5729.5680000000002</v>
      </c>
      <c r="M435" s="139"/>
      <c r="N435" s="139"/>
      <c r="O435" s="140"/>
    </row>
    <row r="436" spans="3:18" hidden="1">
      <c r="C436" s="108">
        <v>42324</v>
      </c>
      <c r="D436" s="102">
        <v>2057.7199999999998</v>
      </c>
      <c r="E436" s="102">
        <v>144.46</v>
      </c>
      <c r="F436" s="102">
        <v>1.5</v>
      </c>
      <c r="G436" s="102">
        <f t="shared" si="54"/>
        <v>2203.6799999999998</v>
      </c>
      <c r="H436" s="160">
        <v>2.6</v>
      </c>
      <c r="I436" s="137">
        <f t="shared" si="55"/>
        <v>5350.0720000000001</v>
      </c>
      <c r="J436" s="137">
        <f t="shared" si="56"/>
        <v>375.59600000000006</v>
      </c>
      <c r="K436" s="137">
        <f t="shared" si="57"/>
        <v>3.9000000000000004</v>
      </c>
      <c r="L436" s="137">
        <f t="shared" si="58"/>
        <v>5729.5680000000002</v>
      </c>
      <c r="M436" s="139"/>
      <c r="N436" s="139"/>
      <c r="O436" s="140"/>
    </row>
    <row r="437" spans="3:18" hidden="1">
      <c r="C437" s="108">
        <v>42353</v>
      </c>
      <c r="D437" s="102">
        <v>2089.4499999999998</v>
      </c>
      <c r="E437" s="102">
        <v>112.73</v>
      </c>
      <c r="F437" s="102">
        <v>1.5</v>
      </c>
      <c r="G437" s="102">
        <f t="shared" si="54"/>
        <v>2203.6799999999998</v>
      </c>
      <c r="H437" s="160">
        <v>2.6</v>
      </c>
      <c r="I437" s="137">
        <f t="shared" si="55"/>
        <v>5432.57</v>
      </c>
      <c r="J437" s="137">
        <f t="shared" si="56"/>
        <v>293.09800000000001</v>
      </c>
      <c r="K437" s="137">
        <f t="shared" si="57"/>
        <v>3.9000000000000004</v>
      </c>
      <c r="L437" s="137">
        <f t="shared" si="58"/>
        <v>5729.5679999999993</v>
      </c>
      <c r="M437" s="139"/>
      <c r="N437" s="139"/>
      <c r="O437" s="140"/>
    </row>
    <row r="438" spans="3:18" hidden="1">
      <c r="C438" s="108">
        <v>42384</v>
      </c>
      <c r="D438" s="102">
        <v>2101.31</v>
      </c>
      <c r="E438" s="102">
        <v>100.87</v>
      </c>
      <c r="F438" s="102">
        <v>1.5</v>
      </c>
      <c r="G438" s="102">
        <f t="shared" si="54"/>
        <v>2203.6799999999998</v>
      </c>
      <c r="H438" s="160">
        <v>2.6</v>
      </c>
      <c r="I438" s="137">
        <f t="shared" si="55"/>
        <v>5463.4059999999999</v>
      </c>
      <c r="J438" s="137">
        <f t="shared" si="56"/>
        <v>262.262</v>
      </c>
      <c r="K438" s="137">
        <f t="shared" si="57"/>
        <v>3.9000000000000004</v>
      </c>
      <c r="L438" s="137">
        <f t="shared" si="58"/>
        <v>5729.5679999999993</v>
      </c>
      <c r="M438" s="139"/>
      <c r="N438" s="139"/>
      <c r="O438" s="140"/>
    </row>
    <row r="439" spans="3:18" hidden="1">
      <c r="C439" s="108">
        <v>42415</v>
      </c>
      <c r="D439" s="102">
        <v>2121.1</v>
      </c>
      <c r="E439" s="102">
        <v>81.08</v>
      </c>
      <c r="F439" s="102">
        <v>1.5</v>
      </c>
      <c r="G439" s="102">
        <f t="shared" si="54"/>
        <v>2203.6799999999998</v>
      </c>
      <c r="H439" s="160">
        <v>2.6</v>
      </c>
      <c r="I439" s="137">
        <f t="shared" si="55"/>
        <v>5514.86</v>
      </c>
      <c r="J439" s="137">
        <f t="shared" si="56"/>
        <v>210.80799999999999</v>
      </c>
      <c r="K439" s="137">
        <f t="shared" si="57"/>
        <v>3.9000000000000004</v>
      </c>
      <c r="L439" s="137">
        <f t="shared" si="58"/>
        <v>5729.5679999999993</v>
      </c>
      <c r="M439" s="139"/>
      <c r="N439" s="139"/>
      <c r="O439" s="140"/>
    </row>
    <row r="440" spans="3:18" hidden="1">
      <c r="C440" s="108">
        <v>42444</v>
      </c>
      <c r="D440" s="102">
        <v>2145.04</v>
      </c>
      <c r="E440" s="102">
        <v>57.14</v>
      </c>
      <c r="F440" s="102">
        <v>1.5</v>
      </c>
      <c r="G440" s="102">
        <f t="shared" si="54"/>
        <v>2203.6799999999998</v>
      </c>
      <c r="H440" s="160">
        <v>2.6</v>
      </c>
      <c r="I440" s="137">
        <f t="shared" si="55"/>
        <v>5577.1040000000003</v>
      </c>
      <c r="J440" s="137">
        <f t="shared" si="56"/>
        <v>148.56399999999999</v>
      </c>
      <c r="K440" s="137">
        <f t="shared" si="57"/>
        <v>3.9000000000000004</v>
      </c>
      <c r="L440" s="137">
        <f t="shared" si="58"/>
        <v>5729.5680000000002</v>
      </c>
      <c r="M440" s="139"/>
      <c r="N440" s="139"/>
      <c r="O440" s="140"/>
    </row>
    <row r="441" spans="3:18" hidden="1">
      <c r="C441" s="108">
        <v>42475</v>
      </c>
      <c r="D441" s="102">
        <v>2161.2800000000002</v>
      </c>
      <c r="E441" s="102">
        <v>40.9</v>
      </c>
      <c r="F441" s="102">
        <v>1.5</v>
      </c>
      <c r="G441" s="102">
        <f>SUM(D441:F441)</f>
        <v>2203.6800000000003</v>
      </c>
      <c r="H441" s="160">
        <v>2.6</v>
      </c>
      <c r="I441" s="137">
        <f t="shared" si="55"/>
        <v>5619.3280000000004</v>
      </c>
      <c r="J441" s="137">
        <f t="shared" si="56"/>
        <v>106.34</v>
      </c>
      <c r="K441" s="137">
        <f t="shared" si="57"/>
        <v>3.9000000000000004</v>
      </c>
      <c r="L441" s="137">
        <f t="shared" si="58"/>
        <v>5729.5680000000002</v>
      </c>
      <c r="M441" s="139"/>
      <c r="N441" s="139"/>
      <c r="O441" s="140"/>
    </row>
    <row r="442" spans="3:18" hidden="1">
      <c r="C442" s="108">
        <v>42506</v>
      </c>
      <c r="D442" s="102">
        <v>2181.5100000000002</v>
      </c>
      <c r="E442" s="102">
        <v>20.54</v>
      </c>
      <c r="F442" s="102">
        <v>1.5</v>
      </c>
      <c r="G442" s="102">
        <f t="shared" si="54"/>
        <v>2203.5500000000002</v>
      </c>
      <c r="H442" s="160">
        <v>2.6</v>
      </c>
      <c r="I442" s="137">
        <f t="shared" si="55"/>
        <v>5671.9260000000004</v>
      </c>
      <c r="J442" s="137">
        <f t="shared" si="56"/>
        <v>53.403999999999996</v>
      </c>
      <c r="K442" s="137">
        <f t="shared" si="57"/>
        <v>3.9000000000000004</v>
      </c>
      <c r="L442" s="137">
        <f>SUM(I442:K442)</f>
        <v>5729.23</v>
      </c>
      <c r="M442" s="139"/>
      <c r="N442" s="139"/>
      <c r="O442" s="140"/>
    </row>
    <row r="443" spans="3:18" hidden="1">
      <c r="D443" s="141">
        <f>SUM(D409:D442)</f>
        <v>63977.999999999985</v>
      </c>
      <c r="E443" s="141">
        <f>SUM(E409:E442)</f>
        <v>12098.319999999998</v>
      </c>
      <c r="F443" s="141">
        <f>SUM(F409:F442)</f>
        <v>51</v>
      </c>
      <c r="G443" s="141">
        <f>SUM(G409:G442)</f>
        <v>76127.319999999992</v>
      </c>
      <c r="H443" s="2"/>
      <c r="I443" s="138">
        <f>SUM(I409:I442)</f>
        <v>166342.80000000002</v>
      </c>
      <c r="J443" s="138">
        <f>SUM(J409:J442)</f>
        <v>31455.632000000001</v>
      </c>
      <c r="K443" s="138">
        <f>SUM(K409:K442)</f>
        <v>132.60000000000008</v>
      </c>
      <c r="L443" s="138">
        <f>SUM(L409:L442)</f>
        <v>197931.03199999998</v>
      </c>
      <c r="M443" s="2"/>
      <c r="N443" s="2"/>
    </row>
    <row r="444" spans="3:18" hidden="1"/>
    <row r="445" spans="3:18" hidden="1"/>
    <row r="446" spans="3:18" hidden="1"/>
    <row r="447" spans="3:18" hidden="1">
      <c r="C447" s="98" t="s">
        <v>240</v>
      </c>
      <c r="D447" s="98"/>
      <c r="E447" s="98"/>
      <c r="F447" s="98"/>
      <c r="G447" s="98"/>
    </row>
    <row r="448" spans="3:18" hidden="1">
      <c r="C448" s="159" t="s">
        <v>252</v>
      </c>
      <c r="D448" s="143">
        <v>40000</v>
      </c>
      <c r="E448" s="149"/>
      <c r="F448" s="149"/>
      <c r="G448" s="144">
        <v>41446</v>
      </c>
      <c r="H448" s="162"/>
      <c r="I448" s="163">
        <f>+D448*H450</f>
        <v>111000</v>
      </c>
      <c r="J448" s="145"/>
      <c r="K448" s="145"/>
      <c r="L448" s="145"/>
      <c r="P448" s="124">
        <v>1011</v>
      </c>
      <c r="Q448" s="103">
        <f>+R450-Q449</f>
        <v>111000</v>
      </c>
      <c r="R448" s="124"/>
    </row>
    <row r="449" spans="3:18" hidden="1">
      <c r="C449" s="108"/>
      <c r="D449" s="98"/>
      <c r="E449" s="98"/>
      <c r="F449" s="98"/>
      <c r="G449" s="98"/>
      <c r="P449" s="124">
        <v>1811</v>
      </c>
      <c r="Q449" s="103">
        <f>+J456+K456</f>
        <v>6016.9492499999988</v>
      </c>
      <c r="R449" s="124"/>
    </row>
    <row r="450" spans="3:18" hidden="1">
      <c r="C450" s="108">
        <v>41540</v>
      </c>
      <c r="D450" s="102">
        <v>6478.24</v>
      </c>
      <c r="E450" s="102">
        <v>1201.3399999999999</v>
      </c>
      <c r="F450" s="102">
        <v>1.5</v>
      </c>
      <c r="G450" s="102">
        <f t="shared" ref="G450:G455" si="59">SUM(D450:F450)</f>
        <v>7681.08</v>
      </c>
      <c r="H450" s="147">
        <v>2.7749999999999999</v>
      </c>
      <c r="I450" s="137">
        <f>+H450*D450</f>
        <v>17977.115999999998</v>
      </c>
      <c r="J450" s="137">
        <f>+H450*E450</f>
        <v>3333.7184999999995</v>
      </c>
      <c r="K450" s="137">
        <f>+H450*F450</f>
        <v>4.1624999999999996</v>
      </c>
      <c r="L450" s="137">
        <f>SUM(I450:K450)</f>
        <v>21314.996999999996</v>
      </c>
      <c r="P450" s="124">
        <v>4511</v>
      </c>
      <c r="Q450" s="124"/>
      <c r="R450" s="103">
        <f>+L456</f>
        <v>117016.94925000001</v>
      </c>
    </row>
    <row r="451" spans="3:18" hidden="1">
      <c r="C451" s="108">
        <v>41568</v>
      </c>
      <c r="D451" s="102">
        <v>6599.16</v>
      </c>
      <c r="E451" s="102">
        <v>296.77999999999997</v>
      </c>
      <c r="F451" s="102">
        <v>1.5</v>
      </c>
      <c r="G451" s="102">
        <f t="shared" si="59"/>
        <v>6897.44</v>
      </c>
      <c r="H451" s="147">
        <v>2.7749999999999999</v>
      </c>
      <c r="I451" s="137">
        <f t="shared" ref="I451:I456" si="60">+H451*D451</f>
        <v>18312.668999999998</v>
      </c>
      <c r="J451" s="137">
        <f t="shared" ref="J451:J456" si="61">+H451*E451</f>
        <v>823.56449999999995</v>
      </c>
      <c r="K451" s="137">
        <f t="shared" ref="K451:K456" si="62">+H451*F451</f>
        <v>4.1624999999999996</v>
      </c>
      <c r="L451" s="137">
        <f t="shared" ref="L451:L456" si="63">SUM(I451:K451)</f>
        <v>19140.395999999997</v>
      </c>
    </row>
    <row r="452" spans="3:18" hidden="1">
      <c r="C452" s="108">
        <v>41599</v>
      </c>
      <c r="D452" s="102">
        <v>6631.92</v>
      </c>
      <c r="E452" s="102">
        <v>264.02</v>
      </c>
      <c r="F452" s="102">
        <v>1.5</v>
      </c>
      <c r="G452" s="102">
        <f t="shared" si="59"/>
        <v>6897.4400000000005</v>
      </c>
      <c r="H452" s="147">
        <v>2.7749999999999999</v>
      </c>
      <c r="I452" s="137">
        <f t="shared" si="60"/>
        <v>18403.578000000001</v>
      </c>
      <c r="J452" s="137">
        <f t="shared" si="61"/>
        <v>732.65549999999996</v>
      </c>
      <c r="K452" s="137">
        <f t="shared" si="62"/>
        <v>4.1624999999999996</v>
      </c>
      <c r="L452" s="137">
        <f t="shared" si="63"/>
        <v>19140.396000000001</v>
      </c>
    </row>
    <row r="453" spans="3:18" hidden="1">
      <c r="C453" s="108">
        <v>41631</v>
      </c>
      <c r="D453" s="102">
        <v>6690.51</v>
      </c>
      <c r="E453" s="102">
        <v>205.43</v>
      </c>
      <c r="F453" s="102">
        <v>1.5</v>
      </c>
      <c r="G453" s="102">
        <f t="shared" si="59"/>
        <v>6897.4400000000005</v>
      </c>
      <c r="H453" s="147">
        <v>2.7749999999999999</v>
      </c>
      <c r="I453" s="137">
        <f t="shared" si="60"/>
        <v>18566.165249999998</v>
      </c>
      <c r="J453" s="137">
        <f t="shared" si="61"/>
        <v>570.06825000000003</v>
      </c>
      <c r="K453" s="137">
        <f t="shared" si="62"/>
        <v>4.1624999999999996</v>
      </c>
      <c r="L453" s="137">
        <f t="shared" si="63"/>
        <v>19140.395999999997</v>
      </c>
    </row>
    <row r="454" spans="3:18" hidden="1">
      <c r="C454" s="108">
        <v>41660</v>
      </c>
      <c r="D454" s="102">
        <v>6771.21</v>
      </c>
      <c r="E454" s="102">
        <v>124.73</v>
      </c>
      <c r="F454" s="102">
        <v>1.5</v>
      </c>
      <c r="G454" s="102">
        <f t="shared" si="59"/>
        <v>6897.44</v>
      </c>
      <c r="H454" s="147">
        <v>2.7749999999999999</v>
      </c>
      <c r="I454" s="137">
        <f t="shared" si="60"/>
        <v>18790.107749999999</v>
      </c>
      <c r="J454" s="137">
        <f t="shared" si="61"/>
        <v>346.12574999999998</v>
      </c>
      <c r="K454" s="137">
        <f t="shared" si="62"/>
        <v>4.1624999999999996</v>
      </c>
      <c r="L454" s="137">
        <f t="shared" si="63"/>
        <v>19140.395999999997</v>
      </c>
    </row>
    <row r="455" spans="3:18" hidden="1">
      <c r="C455" s="108">
        <v>41691</v>
      </c>
      <c r="D455" s="102">
        <v>6828.96</v>
      </c>
      <c r="E455" s="102">
        <v>66.97</v>
      </c>
      <c r="F455" s="102">
        <v>1.5</v>
      </c>
      <c r="G455" s="102">
        <f t="shared" si="59"/>
        <v>6897.43</v>
      </c>
      <c r="H455" s="147">
        <v>2.7749999999999999</v>
      </c>
      <c r="I455" s="137">
        <f t="shared" si="60"/>
        <v>18950.363999999998</v>
      </c>
      <c r="J455" s="137">
        <f t="shared" si="61"/>
        <v>185.84174999999999</v>
      </c>
      <c r="K455" s="137">
        <f t="shared" si="62"/>
        <v>4.1624999999999996</v>
      </c>
      <c r="L455" s="137">
        <f t="shared" si="63"/>
        <v>19140.368249999996</v>
      </c>
    </row>
    <row r="456" spans="3:18" hidden="1">
      <c r="C456" s="108"/>
      <c r="D456" s="114">
        <f>SUM(D450:D455)</f>
        <v>40000</v>
      </c>
      <c r="E456" s="114">
        <f>SUM(E450:E455)</f>
        <v>2159.2699999999995</v>
      </c>
      <c r="F456" s="114">
        <f>SUM(F450:F455)</f>
        <v>9</v>
      </c>
      <c r="G456" s="114">
        <f>SUM(G450:G455)</f>
        <v>42168.270000000004</v>
      </c>
      <c r="H456" s="147">
        <v>2.7749999999999999</v>
      </c>
      <c r="I456" s="148">
        <f t="shared" si="60"/>
        <v>111000</v>
      </c>
      <c r="J456" s="148">
        <f t="shared" si="61"/>
        <v>5991.9742499999984</v>
      </c>
      <c r="K456" s="148">
        <f t="shared" si="62"/>
        <v>24.974999999999998</v>
      </c>
      <c r="L456" s="148">
        <f t="shared" si="63"/>
        <v>117016.94925000001</v>
      </c>
    </row>
    <row r="457" spans="3:18" hidden="1">
      <c r="C457" s="108"/>
      <c r="D457" s="102"/>
      <c r="E457" s="102"/>
      <c r="F457" s="102"/>
      <c r="G457" s="102"/>
      <c r="H457" s="146"/>
      <c r="I457" s="137"/>
      <c r="J457" s="137"/>
      <c r="K457" s="137"/>
      <c r="L457" s="137"/>
    </row>
    <row r="458" spans="3:18" hidden="1">
      <c r="C458" s="108"/>
      <c r="D458" s="102"/>
      <c r="E458" s="102"/>
      <c r="F458" s="102"/>
      <c r="G458" s="102"/>
      <c r="H458" s="146"/>
      <c r="I458" s="137"/>
      <c r="J458" s="137"/>
      <c r="K458" s="137"/>
      <c r="L458" s="137"/>
    </row>
    <row r="459" spans="3:18" hidden="1">
      <c r="H459" s="161"/>
    </row>
    <row r="460" spans="3:18" hidden="1"/>
    <row r="461" spans="3:18" hidden="1"/>
    <row r="462" spans="3:18" hidden="1">
      <c r="C462" s="98" t="s">
        <v>240</v>
      </c>
      <c r="D462" s="98"/>
      <c r="E462" s="98"/>
      <c r="F462" s="98"/>
      <c r="G462" s="98"/>
    </row>
    <row r="463" spans="3:18" hidden="1">
      <c r="C463" s="159" t="s">
        <v>253</v>
      </c>
      <c r="D463" s="143">
        <v>44000</v>
      </c>
      <c r="E463" s="149"/>
      <c r="F463" s="149"/>
      <c r="G463" s="144">
        <v>41459</v>
      </c>
      <c r="H463" s="162"/>
      <c r="I463" s="163">
        <f>+D463*H467</f>
        <v>122628</v>
      </c>
      <c r="J463" s="145"/>
      <c r="K463" s="145"/>
      <c r="L463" s="145"/>
      <c r="P463" s="124">
        <v>1011</v>
      </c>
      <c r="Q463" s="103">
        <f>+R465-Q464</f>
        <v>122628.00000000001</v>
      </c>
      <c r="R463" s="124"/>
    </row>
    <row r="464" spans="3:18" hidden="1">
      <c r="C464" s="108"/>
      <c r="D464" s="107"/>
      <c r="E464" s="107"/>
      <c r="F464" s="107"/>
      <c r="G464" s="107"/>
      <c r="H464" s="10"/>
      <c r="I464" s="10"/>
      <c r="J464" s="10"/>
      <c r="K464" s="10"/>
      <c r="L464" s="10"/>
      <c r="P464" s="124">
        <v>1811</v>
      </c>
      <c r="Q464" s="103">
        <f>+J474+K474</f>
        <v>5427.403800000001</v>
      </c>
      <c r="R464" s="124"/>
    </row>
    <row r="465" spans="3:18" hidden="1">
      <c r="P465" s="124">
        <v>4511</v>
      </c>
      <c r="Q465" s="124"/>
      <c r="R465" s="103">
        <f>+L474</f>
        <v>128055.40380000001</v>
      </c>
    </row>
    <row r="466" spans="3:18" hidden="1">
      <c r="C466" s="108">
        <v>41521</v>
      </c>
      <c r="D466" s="102">
        <v>5310.41</v>
      </c>
      <c r="E466" s="102">
        <v>431.52</v>
      </c>
      <c r="F466" s="102">
        <v>1.5</v>
      </c>
      <c r="G466" s="102">
        <f>SUM(D466:F466)</f>
        <v>5743.43</v>
      </c>
      <c r="H466" s="179">
        <v>2.7869999999999999</v>
      </c>
      <c r="I466" s="137">
        <f>+H466*D466</f>
        <v>14800.112669999999</v>
      </c>
      <c r="J466" s="137">
        <f>+H466*E466</f>
        <v>1202.6462399999998</v>
      </c>
      <c r="K466" s="137">
        <f>+H466*F466</f>
        <v>4.1805000000000003</v>
      </c>
      <c r="L466" s="137">
        <f>SUM(I466:K466)</f>
        <v>16006.939409999999</v>
      </c>
      <c r="P466" s="134"/>
      <c r="Q466" s="134"/>
      <c r="R466" s="135"/>
    </row>
    <row r="467" spans="3:18" hidden="1">
      <c r="C467" s="108">
        <v>41551</v>
      </c>
      <c r="D467" s="102">
        <v>5374.8</v>
      </c>
      <c r="E467" s="102">
        <v>367.12</v>
      </c>
      <c r="F467" s="102">
        <v>1.5</v>
      </c>
      <c r="G467" s="102">
        <f>SUM(D467:F467)</f>
        <v>5743.42</v>
      </c>
      <c r="H467" s="179">
        <v>2.7869999999999999</v>
      </c>
      <c r="I467" s="137">
        <f>+H467*D467</f>
        <v>14979.5676</v>
      </c>
      <c r="J467" s="137">
        <f>+H467*E467</f>
        <v>1023.16344</v>
      </c>
      <c r="K467" s="137">
        <f>+H467*F467</f>
        <v>4.1805000000000003</v>
      </c>
      <c r="L467" s="137">
        <f>SUM(I467:K467)</f>
        <v>16006.911540000001</v>
      </c>
      <c r="P467" s="134"/>
      <c r="Q467" s="134"/>
      <c r="R467" s="135"/>
    </row>
    <row r="468" spans="3:18" hidden="1">
      <c r="C468" s="108">
        <v>41582</v>
      </c>
      <c r="D468" s="102">
        <v>5415.21</v>
      </c>
      <c r="E468" s="102">
        <v>326.70999999999998</v>
      </c>
      <c r="F468" s="102">
        <v>1.5</v>
      </c>
      <c r="G468" s="102">
        <f t="shared" ref="G468:G473" si="64">SUM(D468:F468)</f>
        <v>5743.42</v>
      </c>
      <c r="H468" s="179">
        <v>2.7869999999999999</v>
      </c>
      <c r="I468" s="137">
        <f t="shared" ref="I468:I473" si="65">+H468*D468</f>
        <v>15092.190269999999</v>
      </c>
      <c r="J468" s="137">
        <f t="shared" ref="J468:J473" si="66">+H468*E468</f>
        <v>910.54076999999995</v>
      </c>
      <c r="K468" s="137">
        <f t="shared" ref="K468:K473" si="67">+H468*F468</f>
        <v>4.1805000000000003</v>
      </c>
      <c r="L468" s="137">
        <f t="shared" ref="L468:L473" si="68">SUM(I468:K468)</f>
        <v>16006.911539999999</v>
      </c>
    </row>
    <row r="469" spans="3:18" hidden="1">
      <c r="C469" s="176">
        <v>41612</v>
      </c>
      <c r="D469" s="177">
        <v>5477.21</v>
      </c>
      <c r="E469" s="177">
        <v>264.73</v>
      </c>
      <c r="F469" s="177">
        <v>1.5</v>
      </c>
      <c r="G469" s="177">
        <f t="shared" si="64"/>
        <v>5743.4400000000005</v>
      </c>
      <c r="H469" s="147">
        <v>2.7869999999999999</v>
      </c>
      <c r="I469" s="178">
        <f t="shared" si="65"/>
        <v>15264.984269999999</v>
      </c>
      <c r="J469" s="178">
        <f t="shared" si="66"/>
        <v>737.80250999999998</v>
      </c>
      <c r="K469" s="178">
        <f t="shared" si="67"/>
        <v>4.1805000000000003</v>
      </c>
      <c r="L469" s="178">
        <f t="shared" si="68"/>
        <v>16006.967279999999</v>
      </c>
    </row>
    <row r="470" spans="3:18" hidden="1">
      <c r="C470" s="108">
        <v>41645</v>
      </c>
      <c r="D470" s="102">
        <v>5507.77</v>
      </c>
      <c r="E470" s="102">
        <v>234.15</v>
      </c>
      <c r="F470" s="102">
        <v>1.5</v>
      </c>
      <c r="G470" s="102">
        <f t="shared" si="64"/>
        <v>5743.42</v>
      </c>
      <c r="H470" s="179">
        <v>2.7869999999999999</v>
      </c>
      <c r="I470" s="137">
        <f t="shared" si="65"/>
        <v>15350.154990000001</v>
      </c>
      <c r="J470" s="137">
        <f t="shared" si="66"/>
        <v>652.57605000000001</v>
      </c>
      <c r="K470" s="137">
        <f t="shared" si="67"/>
        <v>4.1805000000000003</v>
      </c>
      <c r="L470" s="137">
        <f t="shared" si="68"/>
        <v>16006.911540000001</v>
      </c>
    </row>
    <row r="471" spans="3:18" hidden="1">
      <c r="C471" s="108">
        <v>41674</v>
      </c>
      <c r="D471" s="102">
        <v>5586.8</v>
      </c>
      <c r="E471" s="102">
        <v>155.12</v>
      </c>
      <c r="F471" s="102">
        <v>1.5</v>
      </c>
      <c r="G471" s="102">
        <f t="shared" si="64"/>
        <v>5743.42</v>
      </c>
      <c r="H471" s="147">
        <v>2.7869999999999999</v>
      </c>
      <c r="I471" s="137">
        <f t="shared" si="65"/>
        <v>15570.411599999999</v>
      </c>
      <c r="J471" s="137">
        <f t="shared" si="66"/>
        <v>432.31943999999999</v>
      </c>
      <c r="K471" s="137">
        <f t="shared" si="67"/>
        <v>4.1805000000000003</v>
      </c>
      <c r="L471" s="137">
        <f t="shared" si="68"/>
        <v>16006.911539999999</v>
      </c>
    </row>
    <row r="472" spans="3:18" hidden="1">
      <c r="C472" s="108">
        <v>41702</v>
      </c>
      <c r="D472" s="102">
        <v>5641.63</v>
      </c>
      <c r="E472" s="102">
        <v>100.29</v>
      </c>
      <c r="F472" s="102">
        <v>1.5</v>
      </c>
      <c r="G472" s="102">
        <f t="shared" si="64"/>
        <v>5743.42</v>
      </c>
      <c r="H472" s="179">
        <v>2.7869999999999999</v>
      </c>
      <c r="I472" s="137">
        <f t="shared" si="65"/>
        <v>15723.222809999999</v>
      </c>
      <c r="J472" s="137">
        <f t="shared" si="66"/>
        <v>279.50823000000003</v>
      </c>
      <c r="K472" s="137">
        <f t="shared" si="67"/>
        <v>4.1805000000000003</v>
      </c>
      <c r="L472" s="137">
        <f t="shared" si="68"/>
        <v>16006.911539999999</v>
      </c>
    </row>
    <row r="473" spans="3:18" hidden="1">
      <c r="C473" s="108">
        <v>41733</v>
      </c>
      <c r="D473" s="102">
        <v>5686.17</v>
      </c>
      <c r="E473" s="102">
        <v>55.76</v>
      </c>
      <c r="F473" s="102">
        <v>1.5</v>
      </c>
      <c r="G473" s="102">
        <f t="shared" si="64"/>
        <v>5743.43</v>
      </c>
      <c r="H473" s="147">
        <v>2.7869999999999999</v>
      </c>
      <c r="I473" s="137">
        <f t="shared" si="65"/>
        <v>15847.35579</v>
      </c>
      <c r="J473" s="137">
        <f t="shared" si="66"/>
        <v>155.40312</v>
      </c>
      <c r="K473" s="137">
        <f t="shared" si="67"/>
        <v>4.1805000000000003</v>
      </c>
      <c r="L473" s="137">
        <f t="shared" si="68"/>
        <v>16006.939410000001</v>
      </c>
    </row>
    <row r="474" spans="3:18" hidden="1">
      <c r="C474" s="108"/>
      <c r="D474" s="114">
        <f>SUM(D466:D473)</f>
        <v>43999.999999999993</v>
      </c>
      <c r="E474" s="114">
        <f>SUM(E466:E473)</f>
        <v>1935.3999999999999</v>
      </c>
      <c r="F474" s="114">
        <f>SUM(F466:F473)</f>
        <v>12</v>
      </c>
      <c r="G474" s="114">
        <f>SUM(G466:G473)</f>
        <v>45947.399999999994</v>
      </c>
      <c r="H474" s="147"/>
      <c r="I474" s="148">
        <f>SUM(I466:I473)</f>
        <v>122628</v>
      </c>
      <c r="J474" s="148">
        <f>SUM(J466:J473)</f>
        <v>5393.9598000000005</v>
      </c>
      <c r="K474" s="148">
        <f>SUM(K466:K473)</f>
        <v>33.44400000000001</v>
      </c>
      <c r="L474" s="148">
        <f>SUM(L466:L473)</f>
        <v>128055.40380000001</v>
      </c>
    </row>
    <row r="475" spans="3:18" hidden="1">
      <c r="C475" s="108"/>
      <c r="D475" s="102"/>
      <c r="E475" s="102"/>
      <c r="F475" s="102"/>
      <c r="G475" s="102"/>
      <c r="H475" s="147"/>
      <c r="I475" s="137"/>
      <c r="J475" s="137"/>
      <c r="K475" s="137"/>
      <c r="L475" s="137"/>
    </row>
    <row r="476" spans="3:18" hidden="1">
      <c r="C476" s="108"/>
      <c r="D476" s="102">
        <f>+D463-D474</f>
        <v>0</v>
      </c>
      <c r="E476" s="102"/>
      <c r="F476" s="102"/>
      <c r="G476" s="102"/>
      <c r="H476" s="147"/>
      <c r="I476" s="137"/>
      <c r="J476" s="137"/>
      <c r="K476" s="137"/>
      <c r="L476" s="137"/>
    </row>
    <row r="477" spans="3:18" hidden="1"/>
    <row r="478" spans="3:18">
      <c r="G478" s="145"/>
    </row>
    <row r="479" spans="3:18">
      <c r="C479" s="98" t="s">
        <v>240</v>
      </c>
      <c r="D479" s="98"/>
      <c r="E479" s="98"/>
      <c r="F479" s="98"/>
      <c r="G479" s="98"/>
    </row>
    <row r="480" spans="3:18">
      <c r="C480" s="159" t="s">
        <v>254</v>
      </c>
      <c r="D480" s="143">
        <v>39000</v>
      </c>
      <c r="E480" s="149"/>
      <c r="F480" s="149"/>
      <c r="G480" s="144">
        <v>41506</v>
      </c>
      <c r="H480" s="162"/>
      <c r="I480" s="163">
        <f>+D480*H482</f>
        <v>109200</v>
      </c>
      <c r="J480" s="145"/>
      <c r="K480" s="145">
        <f>2104.35*H482</f>
        <v>5892.1799999999994</v>
      </c>
      <c r="L480" s="145">
        <f>+I480+K480</f>
        <v>115092.18</v>
      </c>
      <c r="P480" s="124">
        <v>1011</v>
      </c>
      <c r="Q480" s="103">
        <f>+R482-Q481</f>
        <v>109200</v>
      </c>
      <c r="R480" s="124"/>
    </row>
    <row r="481" spans="3:18">
      <c r="C481" s="108"/>
      <c r="D481" s="98"/>
      <c r="E481" s="98"/>
      <c r="F481" s="98"/>
      <c r="G481" s="98"/>
      <c r="P481" s="124">
        <v>1811</v>
      </c>
      <c r="Q481" s="103">
        <f>+K480</f>
        <v>5892.1799999999994</v>
      </c>
      <c r="R481" s="124"/>
    </row>
    <row r="482" spans="3:18">
      <c r="C482" s="108">
        <v>41568</v>
      </c>
      <c r="D482" s="102">
        <v>3104.93</v>
      </c>
      <c r="E482" s="102">
        <v>352.31</v>
      </c>
      <c r="F482" s="102"/>
      <c r="G482" s="102">
        <f t="shared" ref="G482:G487" si="69">SUM(D482:F482)</f>
        <v>3457.24</v>
      </c>
      <c r="H482" s="147">
        <v>2.8</v>
      </c>
      <c r="I482" s="137">
        <f>+H482*D482</f>
        <v>8693.8039999999983</v>
      </c>
      <c r="J482" s="137">
        <f>+H482*E482</f>
        <v>986.46799999999996</v>
      </c>
      <c r="K482" s="137">
        <f>+H482*F482</f>
        <v>0</v>
      </c>
      <c r="L482" s="137">
        <f>SUM(I482:K482)</f>
        <v>9680.271999999999</v>
      </c>
      <c r="P482" s="124">
        <v>4511</v>
      </c>
      <c r="Q482" s="124"/>
      <c r="R482" s="103">
        <f>+L480</f>
        <v>115092.18</v>
      </c>
    </row>
    <row r="483" spans="3:18">
      <c r="C483" s="108">
        <v>41598</v>
      </c>
      <c r="D483" s="102">
        <v>3145.82</v>
      </c>
      <c r="E483" s="102">
        <v>311.42</v>
      </c>
      <c r="F483" s="102"/>
      <c r="G483" s="102">
        <f t="shared" si="69"/>
        <v>3457.2400000000002</v>
      </c>
      <c r="H483" s="147">
        <v>2.8</v>
      </c>
      <c r="I483" s="137">
        <f t="shared" ref="I483:I488" si="70">+H483*D483</f>
        <v>8808.2960000000003</v>
      </c>
      <c r="J483" s="137">
        <f t="shared" ref="J483:J488" si="71">+H483*E483</f>
        <v>871.976</v>
      </c>
      <c r="K483" s="137">
        <f t="shared" ref="K483:K488" si="72">+H483*F483</f>
        <v>0</v>
      </c>
      <c r="L483" s="137">
        <f t="shared" ref="L483:L488" si="73">SUM(I483:K483)</f>
        <v>9680.2720000000008</v>
      </c>
    </row>
    <row r="484" spans="3:18">
      <c r="C484" s="108">
        <v>41628</v>
      </c>
      <c r="D484" s="102">
        <v>3175.67</v>
      </c>
      <c r="E484" s="102">
        <v>281.57</v>
      </c>
      <c r="F484" s="102"/>
      <c r="G484" s="102">
        <f t="shared" si="69"/>
        <v>3457.2400000000002</v>
      </c>
      <c r="H484" s="147">
        <v>2.8</v>
      </c>
      <c r="I484" s="137">
        <f t="shared" si="70"/>
        <v>8891.8760000000002</v>
      </c>
      <c r="J484" s="137">
        <f t="shared" si="71"/>
        <v>788.39599999999996</v>
      </c>
      <c r="K484" s="137">
        <f t="shared" si="72"/>
        <v>0</v>
      </c>
      <c r="L484" s="137">
        <f t="shared" si="73"/>
        <v>9680.2720000000008</v>
      </c>
    </row>
    <row r="485" spans="3:18">
      <c r="C485" s="108">
        <v>41659</v>
      </c>
      <c r="D485" s="102">
        <v>3197.38</v>
      </c>
      <c r="E485" s="102">
        <v>259.86</v>
      </c>
      <c r="F485" s="102"/>
      <c r="G485" s="102">
        <f t="shared" si="69"/>
        <v>3457.2400000000002</v>
      </c>
      <c r="H485" s="147">
        <v>2.8</v>
      </c>
      <c r="I485" s="137">
        <f t="shared" si="70"/>
        <v>8952.6639999999989</v>
      </c>
      <c r="J485" s="137">
        <f t="shared" si="71"/>
        <v>727.60799999999995</v>
      </c>
      <c r="K485" s="137">
        <f t="shared" si="72"/>
        <v>0</v>
      </c>
      <c r="L485" s="137">
        <f t="shared" si="73"/>
        <v>9680.271999999999</v>
      </c>
    </row>
    <row r="486" spans="3:18">
      <c r="C486" s="108">
        <v>41690</v>
      </c>
      <c r="D486" s="102">
        <v>3228.73</v>
      </c>
      <c r="E486" s="102">
        <v>228.51</v>
      </c>
      <c r="F486" s="102"/>
      <c r="G486" s="102">
        <f t="shared" si="69"/>
        <v>3457.24</v>
      </c>
      <c r="H486" s="147">
        <v>2.8</v>
      </c>
      <c r="I486" s="137">
        <f t="shared" si="70"/>
        <v>9040.4439999999995</v>
      </c>
      <c r="J486" s="137">
        <f t="shared" si="71"/>
        <v>639.82799999999997</v>
      </c>
      <c r="K486" s="137">
        <f t="shared" si="72"/>
        <v>0</v>
      </c>
      <c r="L486" s="137">
        <f t="shared" si="73"/>
        <v>9680.271999999999</v>
      </c>
    </row>
    <row r="487" spans="3:18">
      <c r="C487" s="108">
        <v>41718</v>
      </c>
      <c r="D487" s="102">
        <v>3279.53</v>
      </c>
      <c r="E487" s="102">
        <v>177.71</v>
      </c>
      <c r="F487" s="102"/>
      <c r="G487" s="102">
        <f t="shared" si="69"/>
        <v>3457.2400000000002</v>
      </c>
      <c r="H487" s="147">
        <v>2.8</v>
      </c>
      <c r="I487" s="137">
        <f t="shared" si="70"/>
        <v>9182.6839999999993</v>
      </c>
      <c r="J487" s="137">
        <f t="shared" si="71"/>
        <v>497.58799999999997</v>
      </c>
      <c r="K487" s="137">
        <f t="shared" si="72"/>
        <v>0</v>
      </c>
      <c r="L487" s="137">
        <f t="shared" si="73"/>
        <v>9680.271999999999</v>
      </c>
    </row>
    <row r="488" spans="3:18">
      <c r="C488" s="108"/>
      <c r="D488" s="114">
        <f>SUM(D482:D487)</f>
        <v>19132.059999999998</v>
      </c>
      <c r="E488" s="114">
        <f>SUM(E482:E487)</f>
        <v>1611.3799999999999</v>
      </c>
      <c r="F488" s="114">
        <f>SUM(F482:F487)</f>
        <v>0</v>
      </c>
      <c r="G488" s="114">
        <f>SUM(G482:G487)</f>
        <v>20743.439999999999</v>
      </c>
      <c r="H488" s="147"/>
      <c r="I488" s="148">
        <f t="shared" si="70"/>
        <v>0</v>
      </c>
      <c r="J488" s="148">
        <f t="shared" si="71"/>
        <v>0</v>
      </c>
      <c r="K488" s="148">
        <f t="shared" si="72"/>
        <v>0</v>
      </c>
      <c r="L488" s="148">
        <f t="shared" si="73"/>
        <v>0</v>
      </c>
    </row>
    <row r="489" spans="3:18">
      <c r="C489" s="108"/>
      <c r="D489" s="102"/>
      <c r="E489" s="102"/>
      <c r="F489" s="102"/>
      <c r="G489" s="102"/>
      <c r="H489" s="147"/>
      <c r="I489" s="137"/>
      <c r="J489" s="137"/>
      <c r="K489" s="137"/>
      <c r="L489" s="137"/>
    </row>
    <row r="490" spans="3:18">
      <c r="C490" s="108"/>
      <c r="D490" s="102"/>
      <c r="E490" s="102"/>
      <c r="F490" s="102"/>
      <c r="G490" s="102"/>
      <c r="H490" s="147"/>
      <c r="I490" s="137"/>
      <c r="J490" s="137"/>
      <c r="K490" s="137"/>
      <c r="L490" s="137"/>
    </row>
    <row r="493" spans="3:18">
      <c r="C493" s="98" t="s">
        <v>240</v>
      </c>
      <c r="D493" s="98"/>
      <c r="E493" s="98"/>
      <c r="F493" s="98"/>
      <c r="G493" s="98"/>
    </row>
    <row r="494" spans="3:18">
      <c r="C494" s="159" t="s">
        <v>320</v>
      </c>
      <c r="D494" s="143">
        <v>23000</v>
      </c>
      <c r="E494" s="149"/>
      <c r="F494" s="149"/>
      <c r="G494" s="144">
        <v>41529</v>
      </c>
      <c r="H494" s="162"/>
      <c r="I494" s="163">
        <f>+D494*H496</f>
        <v>64147</v>
      </c>
      <c r="J494" s="145"/>
      <c r="K494" s="145"/>
      <c r="L494" s="145"/>
      <c r="P494" s="124">
        <v>1011</v>
      </c>
      <c r="Q494" s="103">
        <f>+R496-Q495</f>
        <v>64147</v>
      </c>
      <c r="R494" s="124"/>
    </row>
    <row r="495" spans="3:18">
      <c r="C495" s="108"/>
      <c r="D495" s="98"/>
      <c r="E495" s="98"/>
      <c r="F495" s="98"/>
      <c r="G495" s="98"/>
      <c r="P495" s="124">
        <v>1811</v>
      </c>
      <c r="Q495" s="103">
        <f>+J504+K504</f>
        <v>2847.3179899999996</v>
      </c>
      <c r="R495" s="124"/>
    </row>
    <row r="496" spans="3:18">
      <c r="C496" s="108">
        <v>41561</v>
      </c>
      <c r="D496" s="102">
        <v>2768.24</v>
      </c>
      <c r="E496" s="102">
        <v>232.87</v>
      </c>
      <c r="F496" s="102">
        <v>1.5</v>
      </c>
      <c r="G496" s="102">
        <f t="shared" ref="G496:G503" si="74">SUM(D496:F496)</f>
        <v>3002.6099999999997</v>
      </c>
      <c r="H496" s="147">
        <v>2.7890000000000001</v>
      </c>
      <c r="I496" s="137">
        <f>+H496*D496</f>
        <v>7720.6213600000001</v>
      </c>
      <c r="J496" s="137">
        <f>+H496*E496</f>
        <v>649.4744300000001</v>
      </c>
      <c r="K496" s="137">
        <f>+H496*F496</f>
        <v>4.1835000000000004</v>
      </c>
      <c r="L496" s="137">
        <f>SUM(I496:K496)</f>
        <v>8374.2792899999986</v>
      </c>
      <c r="P496" s="124">
        <v>4511</v>
      </c>
      <c r="Q496" s="124"/>
      <c r="R496" s="103">
        <f>+L504</f>
        <v>66994.317989999996</v>
      </c>
    </row>
    <row r="497" spans="3:12">
      <c r="C497" s="108">
        <v>41590</v>
      </c>
      <c r="D497" s="102">
        <v>2815.56</v>
      </c>
      <c r="E497" s="102">
        <v>185.55</v>
      </c>
      <c r="F497" s="102">
        <v>1.5</v>
      </c>
      <c r="G497" s="102">
        <f t="shared" si="74"/>
        <v>3002.61</v>
      </c>
      <c r="H497" s="147">
        <v>2.7890000000000001</v>
      </c>
      <c r="I497" s="137">
        <f t="shared" ref="I497:I503" si="75">+H497*D497</f>
        <v>7852.5968400000002</v>
      </c>
      <c r="J497" s="137">
        <f t="shared" ref="J497:J503" si="76">+H497*E497</f>
        <v>517.49895000000004</v>
      </c>
      <c r="K497" s="137">
        <f t="shared" ref="K497:K503" si="77">+H497*F497</f>
        <v>4.1835000000000004</v>
      </c>
      <c r="L497" s="137">
        <f t="shared" ref="L497:L504" si="78">SUM(I497:K497)</f>
        <v>8374.2792899999986</v>
      </c>
    </row>
    <row r="498" spans="3:12">
      <c r="C498" s="108">
        <v>41620</v>
      </c>
      <c r="D498" s="102">
        <v>2835.85</v>
      </c>
      <c r="E498" s="102">
        <v>165.26</v>
      </c>
      <c r="F498" s="102">
        <v>1.5</v>
      </c>
      <c r="G498" s="102">
        <f t="shared" si="74"/>
        <v>3002.6099999999997</v>
      </c>
      <c r="H498" s="147">
        <v>2.7890000000000001</v>
      </c>
      <c r="I498" s="137">
        <f t="shared" si="75"/>
        <v>7909.1856500000004</v>
      </c>
      <c r="J498" s="137">
        <f t="shared" si="76"/>
        <v>460.91014000000001</v>
      </c>
      <c r="K498" s="137">
        <f t="shared" si="77"/>
        <v>4.1835000000000004</v>
      </c>
      <c r="L498" s="137">
        <f t="shared" si="78"/>
        <v>8374.2792900000004</v>
      </c>
    </row>
    <row r="499" spans="3:12">
      <c r="C499" s="108">
        <v>41287</v>
      </c>
      <c r="D499" s="102">
        <v>2853.49</v>
      </c>
      <c r="E499" s="102">
        <v>147.62</v>
      </c>
      <c r="F499" s="102">
        <v>1.5</v>
      </c>
      <c r="G499" s="102">
        <f t="shared" si="74"/>
        <v>3002.6099999999997</v>
      </c>
      <c r="H499" s="147">
        <v>2.7890000000000001</v>
      </c>
      <c r="I499" s="137">
        <f t="shared" si="75"/>
        <v>7958.3836099999999</v>
      </c>
      <c r="J499" s="137">
        <f t="shared" si="76"/>
        <v>411.71218000000005</v>
      </c>
      <c r="K499" s="137">
        <f t="shared" si="77"/>
        <v>4.1835000000000004</v>
      </c>
      <c r="L499" s="137">
        <f t="shared" si="78"/>
        <v>8374.2792899999986</v>
      </c>
    </row>
    <row r="500" spans="3:12">
      <c r="C500" s="108">
        <v>41682</v>
      </c>
      <c r="D500" s="102">
        <v>2889.84</v>
      </c>
      <c r="E500" s="102">
        <v>111.27</v>
      </c>
      <c r="F500" s="102">
        <v>1.5</v>
      </c>
      <c r="G500" s="102">
        <f t="shared" si="74"/>
        <v>3002.61</v>
      </c>
      <c r="H500" s="147">
        <v>2.7890000000000001</v>
      </c>
      <c r="I500" s="137">
        <f t="shared" si="75"/>
        <v>8059.7637600000007</v>
      </c>
      <c r="J500" s="137">
        <f t="shared" si="76"/>
        <v>310.33203000000003</v>
      </c>
      <c r="K500" s="137">
        <f t="shared" si="77"/>
        <v>4.1835000000000004</v>
      </c>
      <c r="L500" s="137">
        <f t="shared" si="78"/>
        <v>8374.2792900000004</v>
      </c>
    </row>
    <row r="501" spans="3:12">
      <c r="C501" s="108">
        <v>41710</v>
      </c>
      <c r="D501" s="102">
        <v>2922.87</v>
      </c>
      <c r="E501" s="102">
        <v>78.239999999999995</v>
      </c>
      <c r="F501" s="102">
        <v>1.5</v>
      </c>
      <c r="G501" s="102">
        <f t="shared" si="74"/>
        <v>3002.6099999999997</v>
      </c>
      <c r="H501" s="147">
        <v>2.7890000000000001</v>
      </c>
      <c r="I501" s="137">
        <f t="shared" si="75"/>
        <v>8151.8844300000001</v>
      </c>
      <c r="J501" s="137">
        <f t="shared" si="76"/>
        <v>218.21135999999998</v>
      </c>
      <c r="K501" s="137">
        <f t="shared" si="77"/>
        <v>4.1835000000000004</v>
      </c>
      <c r="L501" s="137">
        <f t="shared" si="78"/>
        <v>8374.2792899999986</v>
      </c>
    </row>
    <row r="502" spans="3:12">
      <c r="C502" s="108">
        <v>41743</v>
      </c>
      <c r="D502" s="102">
        <v>2939.35</v>
      </c>
      <c r="E502" s="102">
        <v>61.76</v>
      </c>
      <c r="F502" s="102">
        <v>1.5</v>
      </c>
      <c r="G502" s="102">
        <f t="shared" si="74"/>
        <v>3002.61</v>
      </c>
      <c r="H502" s="147">
        <v>2.7890000000000001</v>
      </c>
      <c r="I502" s="137">
        <f t="shared" si="75"/>
        <v>8197.8471499999996</v>
      </c>
      <c r="J502" s="137">
        <f t="shared" si="76"/>
        <v>172.24863999999999</v>
      </c>
      <c r="K502" s="137">
        <f t="shared" si="77"/>
        <v>4.1835000000000004</v>
      </c>
      <c r="L502" s="137">
        <f t="shared" si="78"/>
        <v>8374.2792899999986</v>
      </c>
    </row>
    <row r="503" spans="3:12">
      <c r="C503" s="108">
        <v>41771</v>
      </c>
      <c r="D503" s="102">
        <v>2974.8</v>
      </c>
      <c r="E503" s="102">
        <v>26.34</v>
      </c>
      <c r="F503" s="102">
        <v>1.5</v>
      </c>
      <c r="G503" s="102">
        <f t="shared" si="74"/>
        <v>3002.6400000000003</v>
      </c>
      <c r="H503" s="147">
        <v>2.7890000000000001</v>
      </c>
      <c r="I503" s="137">
        <f t="shared" si="75"/>
        <v>8296.717200000001</v>
      </c>
      <c r="J503" s="137">
        <f t="shared" si="76"/>
        <v>73.462260000000001</v>
      </c>
      <c r="K503" s="137">
        <f t="shared" si="77"/>
        <v>4.1835000000000004</v>
      </c>
      <c r="L503" s="137">
        <f t="shared" si="78"/>
        <v>8374.3629600000004</v>
      </c>
    </row>
    <row r="504" spans="3:12">
      <c r="C504" s="108"/>
      <c r="D504" s="114">
        <f>SUM(D496:D503)</f>
        <v>22999.999999999996</v>
      </c>
      <c r="E504" s="114">
        <f>SUM(E496:E503)</f>
        <v>1008.9100000000001</v>
      </c>
      <c r="F504" s="114">
        <f>SUM(F496:F503)</f>
        <v>12</v>
      </c>
      <c r="G504" s="114">
        <f>SUM(G496:G503)</f>
        <v>24020.91</v>
      </c>
      <c r="H504" s="147"/>
      <c r="I504" s="148">
        <f>SUM(I496:I503)</f>
        <v>64147</v>
      </c>
      <c r="J504" s="148">
        <f>SUM(J496:J503)</f>
        <v>2813.8499899999997</v>
      </c>
      <c r="K504" s="148">
        <f>SUM(K496:K503)</f>
        <v>33.468000000000011</v>
      </c>
      <c r="L504" s="148">
        <f t="shared" si="78"/>
        <v>66994.317989999996</v>
      </c>
    </row>
    <row r="505" spans="3:12">
      <c r="C505" s="108"/>
      <c r="D505" s="102"/>
      <c r="E505" s="102"/>
      <c r="F505" s="102"/>
      <c r="G505" s="102"/>
      <c r="H505" s="147"/>
      <c r="I505" s="137"/>
      <c r="J505" s="137"/>
      <c r="K505" s="137"/>
      <c r="L505" s="137"/>
    </row>
    <row r="506" spans="3:12">
      <c r="C506" s="108"/>
      <c r="D506" s="102"/>
      <c r="E506" s="102"/>
      <c r="F506" s="102"/>
      <c r="G506" s="102"/>
      <c r="H506" s="147"/>
      <c r="I506" s="137"/>
      <c r="J506" s="137"/>
      <c r="K506" s="137"/>
      <c r="L506" s="137"/>
    </row>
    <row r="516" spans="3:6" ht="13.5" thickBot="1"/>
    <row r="517" spans="3:6" ht="30.75" thickBot="1">
      <c r="C517" s="171" t="s">
        <v>9</v>
      </c>
      <c r="D517" s="172" t="s">
        <v>262</v>
      </c>
      <c r="E517" s="172" t="s">
        <v>244</v>
      </c>
      <c r="F517" s="173" t="s">
        <v>266</v>
      </c>
    </row>
    <row r="518" spans="3:6">
      <c r="C518" s="169" t="s">
        <v>267</v>
      </c>
      <c r="D518" s="169" t="s">
        <v>268</v>
      </c>
      <c r="E518" s="174">
        <v>214.96</v>
      </c>
      <c r="F518" s="175">
        <v>41284</v>
      </c>
    </row>
    <row r="519" spans="3:6">
      <c r="C519" s="169"/>
      <c r="D519" s="169" t="s">
        <v>269</v>
      </c>
      <c r="E519" s="174">
        <v>1050.8900000000001</v>
      </c>
      <c r="F519" s="175">
        <v>41284</v>
      </c>
    </row>
    <row r="520" spans="3:6">
      <c r="C520" s="169"/>
      <c r="D520" s="169" t="s">
        <v>270</v>
      </c>
      <c r="E520" s="174">
        <v>135.19999999999999</v>
      </c>
      <c r="F520" s="175">
        <v>41284</v>
      </c>
    </row>
    <row r="521" spans="3:6">
      <c r="C521" s="169"/>
      <c r="D521" s="169"/>
      <c r="E521" s="174"/>
      <c r="F521" s="175"/>
    </row>
    <row r="522" spans="3:6">
      <c r="C522" s="48" t="s">
        <v>271</v>
      </c>
      <c r="D522" s="169" t="s">
        <v>268</v>
      </c>
      <c r="E522" s="49">
        <v>214.64</v>
      </c>
      <c r="F522" s="47">
        <v>41311</v>
      </c>
    </row>
    <row r="523" spans="3:6">
      <c r="C523" s="48"/>
      <c r="D523" s="169" t="s">
        <v>269</v>
      </c>
      <c r="E523" s="49">
        <v>1051.71</v>
      </c>
      <c r="F523" s="47">
        <v>41311</v>
      </c>
    </row>
    <row r="524" spans="3:6">
      <c r="C524" s="48"/>
      <c r="D524" s="169" t="s">
        <v>270</v>
      </c>
      <c r="E524" s="49">
        <v>135.1</v>
      </c>
      <c r="F524" s="47">
        <v>41311</v>
      </c>
    </row>
    <row r="525" spans="3:6">
      <c r="C525" s="48"/>
      <c r="D525" s="169"/>
      <c r="E525" s="49"/>
      <c r="F525" s="47"/>
    </row>
    <row r="526" spans="3:6">
      <c r="C526" s="48" t="s">
        <v>272</v>
      </c>
      <c r="D526" s="169" t="s">
        <v>268</v>
      </c>
      <c r="E526" s="49">
        <v>214.64</v>
      </c>
      <c r="F526" s="47">
        <v>41340</v>
      </c>
    </row>
    <row r="527" spans="3:6">
      <c r="C527" s="48"/>
      <c r="D527" s="169" t="s">
        <v>269</v>
      </c>
      <c r="E527" s="49">
        <v>1051.71</v>
      </c>
      <c r="F527" s="47">
        <v>41340</v>
      </c>
    </row>
    <row r="528" spans="3:6">
      <c r="C528" s="48"/>
      <c r="D528" s="169" t="s">
        <v>270</v>
      </c>
      <c r="E528" s="49">
        <v>135.1</v>
      </c>
      <c r="F528" s="47">
        <v>41340</v>
      </c>
    </row>
    <row r="529" spans="3:6">
      <c r="C529" s="48"/>
      <c r="D529" s="169"/>
      <c r="E529" s="49"/>
      <c r="F529" s="47"/>
    </row>
    <row r="530" spans="3:6">
      <c r="C530" s="48" t="s">
        <v>273</v>
      </c>
      <c r="D530" s="169" t="s">
        <v>268</v>
      </c>
      <c r="E530" s="49">
        <v>214.64</v>
      </c>
      <c r="F530" s="47">
        <v>41375</v>
      </c>
    </row>
    <row r="531" spans="3:6">
      <c r="C531" s="48"/>
      <c r="D531" s="169" t="s">
        <v>269</v>
      </c>
      <c r="E531" s="49">
        <v>1051.71</v>
      </c>
      <c r="F531" s="47">
        <v>41375</v>
      </c>
    </row>
    <row r="532" spans="3:6">
      <c r="C532" s="48"/>
      <c r="D532" s="169" t="s">
        <v>270</v>
      </c>
      <c r="E532" s="49">
        <v>135.1</v>
      </c>
      <c r="F532" s="47">
        <v>41375</v>
      </c>
    </row>
    <row r="533" spans="3:6">
      <c r="C533" s="48"/>
      <c r="D533" s="169"/>
      <c r="E533" s="49"/>
      <c r="F533" s="47"/>
    </row>
    <row r="534" spans="3:6">
      <c r="C534" s="48" t="s">
        <v>274</v>
      </c>
      <c r="D534" s="169" t="s">
        <v>268</v>
      </c>
      <c r="E534" s="49">
        <v>214.64</v>
      </c>
      <c r="F534" s="47">
        <v>41409</v>
      </c>
    </row>
    <row r="535" spans="3:6">
      <c r="C535" s="48"/>
      <c r="D535" s="169" t="s">
        <v>269</v>
      </c>
      <c r="E535" s="49">
        <v>1051.71</v>
      </c>
      <c r="F535" s="47">
        <v>41409</v>
      </c>
    </row>
    <row r="536" spans="3:6">
      <c r="C536" s="48"/>
      <c r="D536" s="169" t="s">
        <v>270</v>
      </c>
      <c r="E536" s="49">
        <v>132.5</v>
      </c>
      <c r="F536" s="47">
        <v>41409</v>
      </c>
    </row>
    <row r="537" spans="3:6">
      <c r="C537" s="48"/>
      <c r="D537" s="169"/>
      <c r="E537" s="49"/>
      <c r="F537" s="47"/>
    </row>
    <row r="538" spans="3:6">
      <c r="C538" s="48" t="s">
        <v>275</v>
      </c>
      <c r="D538" s="169" t="s">
        <v>268</v>
      </c>
      <c r="E538" s="49">
        <v>214.64</v>
      </c>
      <c r="F538" s="47">
        <v>41431</v>
      </c>
    </row>
    <row r="539" spans="3:6">
      <c r="C539" s="48"/>
      <c r="D539" s="169" t="s">
        <v>269</v>
      </c>
      <c r="E539" s="49">
        <v>1051.71</v>
      </c>
      <c r="F539" s="47">
        <v>41431</v>
      </c>
    </row>
    <row r="540" spans="3:6">
      <c r="C540" s="48"/>
      <c r="D540" s="169" t="s">
        <v>270</v>
      </c>
      <c r="E540" s="49">
        <v>132.5</v>
      </c>
      <c r="F540" s="47">
        <v>41431</v>
      </c>
    </row>
    <row r="541" spans="3:6">
      <c r="C541" s="48"/>
      <c r="D541" s="169"/>
      <c r="E541" s="49"/>
      <c r="F541" s="47"/>
    </row>
    <row r="542" spans="3:6">
      <c r="C542" s="48" t="s">
        <v>276</v>
      </c>
      <c r="D542" s="169" t="s">
        <v>268</v>
      </c>
      <c r="E542" s="49">
        <v>214.64</v>
      </c>
      <c r="F542" s="47">
        <v>41459</v>
      </c>
    </row>
    <row r="543" spans="3:6">
      <c r="C543" s="48"/>
      <c r="D543" s="169" t="s">
        <v>269</v>
      </c>
      <c r="E543" s="49">
        <v>1045.52</v>
      </c>
      <c r="F543" s="47">
        <v>41459</v>
      </c>
    </row>
    <row r="544" spans="3:6">
      <c r="C544" s="48"/>
      <c r="D544" s="169" t="s">
        <v>270</v>
      </c>
      <c r="E544" s="49">
        <v>132.5</v>
      </c>
      <c r="F544" s="47">
        <v>41459</v>
      </c>
    </row>
    <row r="545" spans="3:6">
      <c r="C545" s="48"/>
      <c r="D545" s="169"/>
      <c r="E545" s="49"/>
      <c r="F545" s="47"/>
    </row>
    <row r="546" spans="3:6">
      <c r="C546" s="48" t="s">
        <v>277</v>
      </c>
      <c r="D546" s="169" t="s">
        <v>268</v>
      </c>
      <c r="E546" s="49">
        <v>214.64</v>
      </c>
      <c r="F546" s="47">
        <v>41493</v>
      </c>
    </row>
    <row r="547" spans="3:6">
      <c r="C547" s="48"/>
      <c r="D547" s="169" t="s">
        <v>269</v>
      </c>
      <c r="E547" s="49">
        <v>1045.52</v>
      </c>
      <c r="F547" s="47">
        <v>41493</v>
      </c>
    </row>
    <row r="548" spans="3:6">
      <c r="C548" s="48"/>
      <c r="D548" s="169" t="s">
        <v>270</v>
      </c>
      <c r="E548" s="49">
        <v>132.5</v>
      </c>
      <c r="F548" s="47">
        <v>41493</v>
      </c>
    </row>
    <row r="549" spans="3:6">
      <c r="C549" s="48"/>
      <c r="D549" s="169"/>
      <c r="E549" s="49"/>
      <c r="F549" s="47"/>
    </row>
    <row r="550" spans="3:6">
      <c r="C550" s="48" t="s">
        <v>278</v>
      </c>
      <c r="D550" s="169" t="s">
        <v>268</v>
      </c>
      <c r="E550" s="49">
        <v>214.64</v>
      </c>
      <c r="F550" s="47">
        <v>41524</v>
      </c>
    </row>
    <row r="551" spans="3:6">
      <c r="C551" s="48"/>
      <c r="D551" s="169" t="s">
        <v>269</v>
      </c>
      <c r="E551" s="49">
        <v>1045.52</v>
      </c>
      <c r="F551" s="47">
        <v>41524</v>
      </c>
    </row>
    <row r="552" spans="3:6">
      <c r="C552" s="48"/>
      <c r="D552" s="169" t="s">
        <v>270</v>
      </c>
      <c r="E552" s="49">
        <v>132.5</v>
      </c>
      <c r="F552" s="47">
        <v>41524</v>
      </c>
    </row>
    <row r="553" spans="3:6">
      <c r="C553" s="48"/>
      <c r="D553" s="169"/>
      <c r="E553" s="49"/>
      <c r="F553" s="47"/>
    </row>
  </sheetData>
  <autoFilter ref="C311:L477">
    <filterColumn colId="0">
      <filters>
        <dateGroupItem year="2013" month="9" day="27" dateTimeGrouping="day"/>
      </filters>
    </filterColumn>
  </autoFilter>
  <mergeCells count="1">
    <mergeCell ref="B4:H4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H99"/>
  <sheetViews>
    <sheetView topLeftCell="A79" workbookViewId="0">
      <selection activeCell="I92" sqref="I92"/>
    </sheetView>
  </sheetViews>
  <sheetFormatPr baseColWidth="10" defaultRowHeight="12.75"/>
  <cols>
    <col min="2" max="2" width="13" style="183" customWidth="1"/>
    <col min="3" max="3" width="14.85546875" style="183" customWidth="1"/>
    <col min="4" max="4" width="52.42578125" style="183" customWidth="1"/>
    <col min="5" max="6" width="15.5703125" style="183" customWidth="1"/>
    <col min="7" max="7" width="11.7109375" bestFit="1" customWidth="1"/>
  </cols>
  <sheetData>
    <row r="4" spans="2:6" ht="15">
      <c r="B4" s="21" t="s">
        <v>153</v>
      </c>
      <c r="C4" s="22"/>
      <c r="D4" s="23"/>
      <c r="E4" s="24"/>
      <c r="F4" s="24"/>
    </row>
    <row r="5" spans="2:6" ht="15">
      <c r="B5" s="21" t="s">
        <v>318</v>
      </c>
      <c r="C5" s="22"/>
      <c r="D5" s="22"/>
      <c r="E5" s="24"/>
      <c r="F5" s="24"/>
    </row>
    <row r="6" spans="2:6" ht="15">
      <c r="B6" s="21" t="s">
        <v>154</v>
      </c>
      <c r="C6" s="22"/>
      <c r="D6" s="22"/>
      <c r="E6" s="24"/>
      <c r="F6" s="24"/>
    </row>
    <row r="7" spans="2:6" ht="15">
      <c r="B7" s="21" t="s">
        <v>155</v>
      </c>
      <c r="C7" s="22"/>
      <c r="D7" s="22"/>
      <c r="E7" s="24"/>
      <c r="F7" s="24"/>
    </row>
    <row r="8" spans="2:6" ht="13.5" thickBot="1">
      <c r="B8" s="22"/>
      <c r="C8" s="22"/>
      <c r="D8" s="22"/>
      <c r="E8" s="24"/>
      <c r="F8" s="24"/>
    </row>
    <row r="9" spans="2:6" ht="26.25" customHeight="1" thickBot="1">
      <c r="B9" s="264" t="s">
        <v>156</v>
      </c>
      <c r="C9" s="264" t="s">
        <v>157</v>
      </c>
      <c r="D9" s="264" t="s">
        <v>158</v>
      </c>
      <c r="E9" s="269" t="s">
        <v>159</v>
      </c>
      <c r="F9" s="270"/>
    </row>
    <row r="10" spans="2:6" ht="33" customHeight="1" thickBot="1">
      <c r="B10" s="265"/>
      <c r="C10" s="265"/>
      <c r="D10" s="265"/>
      <c r="E10" s="25" t="s">
        <v>160</v>
      </c>
      <c r="F10" s="25" t="s">
        <v>161</v>
      </c>
    </row>
    <row r="11" spans="2:6">
      <c r="B11" s="26"/>
      <c r="C11" s="27"/>
      <c r="D11" s="28" t="s">
        <v>162</v>
      </c>
      <c r="E11" s="29">
        <v>222969.15914670899</v>
      </c>
      <c r="F11" s="30"/>
    </row>
    <row r="12" spans="2:6">
      <c r="B12" s="31"/>
      <c r="C12" s="154">
        <v>41341</v>
      </c>
      <c r="D12" s="184" t="s">
        <v>346</v>
      </c>
      <c r="E12" s="16"/>
      <c r="F12" s="168">
        <v>113</v>
      </c>
    </row>
    <row r="13" spans="2:6">
      <c r="B13" s="31"/>
      <c r="C13" s="154">
        <v>41398</v>
      </c>
      <c r="D13" s="184" t="s">
        <v>346</v>
      </c>
      <c r="E13" s="16"/>
      <c r="F13" s="168">
        <v>194</v>
      </c>
    </row>
    <row r="14" spans="2:6">
      <c r="B14" s="31"/>
      <c r="C14" s="154">
        <v>41410</v>
      </c>
      <c r="D14" s="184" t="s">
        <v>346</v>
      </c>
      <c r="E14" s="33"/>
      <c r="F14" s="168">
        <v>1324.99</v>
      </c>
    </row>
    <row r="15" spans="2:6">
      <c r="B15" s="31"/>
      <c r="C15" s="154">
        <v>41428</v>
      </c>
      <c r="D15" s="167" t="s">
        <v>346</v>
      </c>
      <c r="E15" s="33"/>
      <c r="F15" s="168">
        <v>100</v>
      </c>
    </row>
    <row r="16" spans="2:6">
      <c r="B16" s="31"/>
      <c r="C16" s="154">
        <v>41432</v>
      </c>
      <c r="D16" s="184" t="s">
        <v>346</v>
      </c>
      <c r="E16" s="33"/>
      <c r="F16" s="168">
        <v>100</v>
      </c>
    </row>
    <row r="17" spans="2:6">
      <c r="B17" s="31"/>
      <c r="C17" s="154">
        <v>41437</v>
      </c>
      <c r="D17" s="184" t="s">
        <v>346</v>
      </c>
      <c r="E17" s="33"/>
      <c r="F17" s="168">
        <v>321.39999999999998</v>
      </c>
    </row>
    <row r="18" spans="2:6">
      <c r="B18" s="31"/>
      <c r="C18" s="154">
        <v>41458</v>
      </c>
      <c r="D18" s="184" t="s">
        <v>346</v>
      </c>
      <c r="E18" s="33"/>
      <c r="F18" s="168">
        <v>100</v>
      </c>
    </row>
    <row r="19" spans="2:6">
      <c r="B19" s="31"/>
      <c r="C19" s="154">
        <v>41462</v>
      </c>
      <c r="D19" s="184" t="s">
        <v>346</v>
      </c>
      <c r="E19" s="33"/>
      <c r="F19" s="168">
        <v>144</v>
      </c>
    </row>
    <row r="20" spans="2:6">
      <c r="B20" s="34"/>
      <c r="C20" s="154">
        <v>41465</v>
      </c>
      <c r="D20" s="167" t="s">
        <v>346</v>
      </c>
      <c r="E20" s="33"/>
      <c r="F20" s="168">
        <v>739.95</v>
      </c>
    </row>
    <row r="21" spans="2:6">
      <c r="B21" s="31"/>
      <c r="C21" s="154">
        <v>41466</v>
      </c>
      <c r="D21" s="167" t="s">
        <v>346</v>
      </c>
      <c r="E21" s="33"/>
      <c r="F21" s="168">
        <v>100</v>
      </c>
    </row>
    <row r="22" spans="2:6">
      <c r="B22" s="31"/>
      <c r="C22" s="154">
        <v>41468</v>
      </c>
      <c r="D22" s="167" t="s">
        <v>346</v>
      </c>
      <c r="E22" s="33"/>
      <c r="F22" s="168">
        <v>790</v>
      </c>
    </row>
    <row r="23" spans="2:6">
      <c r="B23" s="31"/>
      <c r="C23" s="154">
        <v>41471</v>
      </c>
      <c r="D23" s="167" t="s">
        <v>346</v>
      </c>
      <c r="E23" s="33"/>
      <c r="F23" s="168">
        <v>150.01</v>
      </c>
    </row>
    <row r="24" spans="2:6">
      <c r="B24" s="31"/>
      <c r="C24" s="154">
        <v>41473</v>
      </c>
      <c r="D24" s="167" t="s">
        <v>346</v>
      </c>
      <c r="E24" s="33"/>
      <c r="F24" s="168">
        <v>310</v>
      </c>
    </row>
    <row r="25" spans="2:6">
      <c r="B25" s="31"/>
      <c r="C25" s="154">
        <v>41483</v>
      </c>
      <c r="D25" s="167" t="s">
        <v>346</v>
      </c>
      <c r="E25" s="16"/>
      <c r="F25" s="16">
        <v>217</v>
      </c>
    </row>
    <row r="26" spans="2:6">
      <c r="B26" s="31"/>
      <c r="C26" s="154">
        <v>41494</v>
      </c>
      <c r="D26" s="167" t="s">
        <v>346</v>
      </c>
      <c r="E26" s="16"/>
      <c r="F26" s="16">
        <v>128</v>
      </c>
    </row>
    <row r="27" spans="2:6">
      <c r="B27" s="31"/>
      <c r="C27" s="154">
        <v>41496</v>
      </c>
      <c r="D27" s="167" t="s">
        <v>346</v>
      </c>
      <c r="E27" s="16"/>
      <c r="F27" s="16">
        <v>146</v>
      </c>
    </row>
    <row r="28" spans="2:6">
      <c r="B28" s="31"/>
      <c r="C28" s="154">
        <v>41498</v>
      </c>
      <c r="D28" s="167" t="s">
        <v>346</v>
      </c>
      <c r="E28" s="16"/>
      <c r="F28" s="16">
        <v>64.5</v>
      </c>
    </row>
    <row r="29" spans="2:6">
      <c r="B29" s="31"/>
      <c r="C29" s="154">
        <v>41499</v>
      </c>
      <c r="D29" s="167" t="s">
        <v>346</v>
      </c>
      <c r="E29" s="16"/>
      <c r="F29" s="94">
        <v>110</v>
      </c>
    </row>
    <row r="30" spans="2:6">
      <c r="B30" s="31"/>
      <c r="C30" s="154">
        <v>41501</v>
      </c>
      <c r="D30" s="167" t="s">
        <v>346</v>
      </c>
      <c r="E30" s="33"/>
      <c r="F30" s="32">
        <v>117</v>
      </c>
    </row>
    <row r="31" spans="2:6">
      <c r="B31" s="31"/>
      <c r="C31" s="154">
        <v>41502</v>
      </c>
      <c r="D31" s="167" t="s">
        <v>346</v>
      </c>
      <c r="E31" s="16"/>
      <c r="F31" s="16">
        <v>133</v>
      </c>
    </row>
    <row r="32" spans="2:6">
      <c r="B32" s="31"/>
      <c r="C32" s="154">
        <v>41505</v>
      </c>
      <c r="D32" s="167" t="s">
        <v>346</v>
      </c>
      <c r="E32" s="16"/>
      <c r="F32" s="16">
        <v>6638.97</v>
      </c>
    </row>
    <row r="33" spans="2:6">
      <c r="B33" s="31"/>
      <c r="C33" s="154">
        <v>41506</v>
      </c>
      <c r="D33" s="167" t="s">
        <v>346</v>
      </c>
      <c r="E33" s="16"/>
      <c r="F33" s="16">
        <v>100</v>
      </c>
    </row>
    <row r="34" spans="2:6">
      <c r="B34" s="31"/>
      <c r="C34" s="154">
        <v>41508</v>
      </c>
      <c r="D34" s="167" t="s">
        <v>346</v>
      </c>
      <c r="E34" s="16"/>
      <c r="F34" s="168">
        <v>100</v>
      </c>
    </row>
    <row r="35" spans="2:6">
      <c r="B35" s="31"/>
      <c r="C35" s="154">
        <v>41509</v>
      </c>
      <c r="D35" s="167" t="s">
        <v>346</v>
      </c>
      <c r="E35" s="16"/>
      <c r="F35" s="168">
        <v>129.44</v>
      </c>
    </row>
    <row r="36" spans="2:6">
      <c r="B36" s="31"/>
      <c r="C36" s="154">
        <v>41513</v>
      </c>
      <c r="D36" s="167" t="s">
        <v>346</v>
      </c>
      <c r="E36" s="33"/>
      <c r="F36" s="32">
        <v>30</v>
      </c>
    </row>
    <row r="37" spans="2:6">
      <c r="B37" s="31"/>
      <c r="C37" s="154">
        <v>41515</v>
      </c>
      <c r="D37" s="167" t="s">
        <v>346</v>
      </c>
      <c r="E37" s="33"/>
      <c r="F37" s="32">
        <v>227</v>
      </c>
    </row>
    <row r="38" spans="2:6">
      <c r="B38" s="31"/>
      <c r="C38" s="154">
        <v>41516</v>
      </c>
      <c r="D38" s="167" t="s">
        <v>346</v>
      </c>
      <c r="E38" s="33"/>
      <c r="F38" s="32">
        <v>12000</v>
      </c>
    </row>
    <row r="39" spans="2:6">
      <c r="B39" s="31"/>
      <c r="C39" s="151">
        <v>41518</v>
      </c>
      <c r="D39" s="167" t="s">
        <v>346</v>
      </c>
      <c r="E39" s="33"/>
      <c r="F39" s="16">
        <v>231</v>
      </c>
    </row>
    <row r="40" spans="2:6">
      <c r="B40" s="31"/>
      <c r="C40" s="154">
        <v>41519</v>
      </c>
      <c r="D40" s="167" t="s">
        <v>346</v>
      </c>
      <c r="E40" s="16"/>
      <c r="F40" s="168">
        <v>1388.54</v>
      </c>
    </row>
    <row r="41" spans="2:6">
      <c r="B41" s="31"/>
      <c r="C41" s="154">
        <v>41520</v>
      </c>
      <c r="D41" s="167" t="s">
        <v>346</v>
      </c>
      <c r="E41" s="16"/>
      <c r="F41" s="16">
        <v>6571.76</v>
      </c>
    </row>
    <row r="42" spans="2:6">
      <c r="B42" s="31"/>
      <c r="C42" s="40">
        <v>41521</v>
      </c>
      <c r="D42" s="38" t="s">
        <v>316</v>
      </c>
      <c r="E42" s="16"/>
      <c r="F42" s="16">
        <f>+BANCOS!I466</f>
        <v>14800.112669999999</v>
      </c>
    </row>
    <row r="43" spans="2:6">
      <c r="B43" s="31"/>
      <c r="C43" s="40">
        <v>41521</v>
      </c>
      <c r="D43" s="38" t="s">
        <v>363</v>
      </c>
      <c r="E43" s="16"/>
      <c r="F43" s="16">
        <f>+BANCOS!J466+BANCOS!K466</f>
        <v>1206.8267399999997</v>
      </c>
    </row>
    <row r="44" spans="2:6">
      <c r="B44" s="31"/>
      <c r="C44" s="154">
        <v>41521</v>
      </c>
      <c r="D44" s="167" t="s">
        <v>346</v>
      </c>
      <c r="E44" s="16"/>
      <c r="F44" s="16">
        <v>154366.63</v>
      </c>
    </row>
    <row r="45" spans="2:6">
      <c r="B45" s="31"/>
      <c r="C45" s="47">
        <v>41521</v>
      </c>
      <c r="D45" s="38" t="s">
        <v>347</v>
      </c>
      <c r="E45" s="16">
        <v>3188</v>
      </c>
      <c r="F45" s="16"/>
    </row>
    <row r="46" spans="2:6">
      <c r="B46" s="31"/>
      <c r="C46" s="154">
        <v>41522</v>
      </c>
      <c r="D46" s="167" t="s">
        <v>346</v>
      </c>
      <c r="E46" s="16"/>
      <c r="F46" s="16">
        <v>7</v>
      </c>
    </row>
    <row r="47" spans="2:6">
      <c r="B47" s="31"/>
      <c r="C47" s="154">
        <v>41523</v>
      </c>
      <c r="D47" s="167" t="s">
        <v>346</v>
      </c>
      <c r="E47" s="16"/>
      <c r="F47" s="16">
        <v>7913.65</v>
      </c>
    </row>
    <row r="48" spans="2:6">
      <c r="B48" s="31"/>
      <c r="C48" s="47">
        <v>41524</v>
      </c>
      <c r="D48" s="48" t="s">
        <v>268</v>
      </c>
      <c r="E48" s="16"/>
      <c r="F48" s="49">
        <v>214.64</v>
      </c>
    </row>
    <row r="49" spans="2:8">
      <c r="B49" s="31"/>
      <c r="C49" s="47">
        <v>41524</v>
      </c>
      <c r="D49" s="48" t="s">
        <v>269</v>
      </c>
      <c r="E49" s="16"/>
      <c r="F49" s="49">
        <v>1045.52</v>
      </c>
    </row>
    <row r="50" spans="2:8">
      <c r="B50" s="31"/>
      <c r="C50" s="47">
        <v>41524</v>
      </c>
      <c r="D50" s="48" t="s">
        <v>270</v>
      </c>
      <c r="E50" s="16"/>
      <c r="F50" s="49">
        <v>132.5</v>
      </c>
    </row>
    <row r="51" spans="2:8">
      <c r="B51" s="31"/>
      <c r="C51" s="154">
        <v>41525</v>
      </c>
      <c r="D51" s="167" t="s">
        <v>346</v>
      </c>
      <c r="E51" s="16"/>
      <c r="F51" s="16">
        <v>100</v>
      </c>
    </row>
    <row r="52" spans="2:8">
      <c r="B52" s="31"/>
      <c r="C52" s="154">
        <v>41526</v>
      </c>
      <c r="D52" s="167" t="s">
        <v>346</v>
      </c>
      <c r="E52" s="16"/>
      <c r="F52" s="16">
        <v>3366.35</v>
      </c>
    </row>
    <row r="53" spans="2:8">
      <c r="B53" s="31"/>
      <c r="C53" s="47">
        <v>41526</v>
      </c>
      <c r="D53" s="38" t="s">
        <v>347</v>
      </c>
      <c r="E53" s="16">
        <f>38190-30379.62</f>
        <v>7810.380000000001</v>
      </c>
      <c r="F53" s="16"/>
      <c r="H53" s="92">
        <f>+hw!E7</f>
        <v>0</v>
      </c>
    </row>
    <row r="54" spans="2:8">
      <c r="B54" s="31"/>
      <c r="C54" s="154">
        <v>41527</v>
      </c>
      <c r="D54" s="167" t="s">
        <v>346</v>
      </c>
      <c r="E54" s="16"/>
      <c r="F54" s="16">
        <v>36</v>
      </c>
    </row>
    <row r="55" spans="2:8">
      <c r="B55" s="31"/>
      <c r="C55" s="47">
        <v>41527</v>
      </c>
      <c r="D55" s="38" t="s">
        <v>347</v>
      </c>
      <c r="E55" s="16">
        <v>10495</v>
      </c>
      <c r="F55" s="16"/>
    </row>
    <row r="56" spans="2:8">
      <c r="B56" s="31"/>
      <c r="C56" s="154">
        <v>41528</v>
      </c>
      <c r="D56" s="167" t="s">
        <v>346</v>
      </c>
      <c r="E56" s="16"/>
      <c r="F56" s="16">
        <v>25</v>
      </c>
    </row>
    <row r="57" spans="2:8">
      <c r="B57" s="31"/>
      <c r="C57" s="47">
        <v>41528</v>
      </c>
      <c r="D57" s="38" t="s">
        <v>347</v>
      </c>
      <c r="E57" s="16">
        <v>21880</v>
      </c>
      <c r="F57" s="16"/>
    </row>
    <row r="58" spans="2:8">
      <c r="B58" s="31"/>
      <c r="C58" s="40">
        <v>41529</v>
      </c>
      <c r="D58" s="38" t="s">
        <v>256</v>
      </c>
      <c r="E58" s="16">
        <f>+BANCOS!Q494</f>
        <v>64147</v>
      </c>
      <c r="F58" s="16"/>
    </row>
    <row r="59" spans="2:8">
      <c r="B59" s="31"/>
      <c r="C59" s="47">
        <v>41529</v>
      </c>
      <c r="D59" s="38" t="s">
        <v>347</v>
      </c>
      <c r="E59" s="16">
        <v>10605</v>
      </c>
      <c r="F59" s="16"/>
    </row>
    <row r="60" spans="2:8">
      <c r="B60" s="31"/>
      <c r="C60" s="154">
        <v>41530</v>
      </c>
      <c r="D60" s="167" t="s">
        <v>346</v>
      </c>
      <c r="E60" s="16"/>
      <c r="F60" s="16">
        <v>179.5</v>
      </c>
    </row>
    <row r="61" spans="2:8">
      <c r="B61" s="31"/>
      <c r="C61" s="47">
        <v>41530</v>
      </c>
      <c r="D61" s="38" t="s">
        <v>347</v>
      </c>
      <c r="E61" s="16">
        <v>560</v>
      </c>
      <c r="F61" s="16"/>
    </row>
    <row r="62" spans="2:8">
      <c r="B62" s="31"/>
      <c r="C62" s="154">
        <v>41531</v>
      </c>
      <c r="D62" s="167" t="s">
        <v>346</v>
      </c>
      <c r="E62" s="16"/>
      <c r="F62" s="16">
        <v>2352.79</v>
      </c>
    </row>
    <row r="63" spans="2:8">
      <c r="B63" s="31"/>
      <c r="C63" s="154">
        <v>41532</v>
      </c>
      <c r="D63" s="167" t="s">
        <v>346</v>
      </c>
      <c r="E63" s="16"/>
      <c r="F63" s="16">
        <v>245</v>
      </c>
    </row>
    <row r="64" spans="2:8">
      <c r="B64" s="31"/>
      <c r="C64" s="40">
        <v>41533</v>
      </c>
      <c r="D64" s="38" t="s">
        <v>316</v>
      </c>
      <c r="E64" s="16"/>
      <c r="F64" s="16">
        <f>+BANCOS!D368+BANCOS!I410</f>
        <v>8933.4680000000008</v>
      </c>
    </row>
    <row r="65" spans="2:6">
      <c r="B65" s="31"/>
      <c r="C65" s="40">
        <v>41533</v>
      </c>
      <c r="D65" s="38" t="s">
        <v>363</v>
      </c>
      <c r="E65" s="16"/>
      <c r="F65" s="16">
        <f>+BANCOS!E368+BANCOS!F368+BANCOS!J410+BANCOS!K410</f>
        <v>3316.85</v>
      </c>
    </row>
    <row r="66" spans="2:6">
      <c r="B66" s="31"/>
      <c r="C66" s="154">
        <v>41534</v>
      </c>
      <c r="D66" s="167" t="s">
        <v>346</v>
      </c>
      <c r="E66" s="16"/>
      <c r="F66" s="16">
        <v>100</v>
      </c>
    </row>
    <row r="67" spans="2:6">
      <c r="B67" s="31"/>
      <c r="C67" s="154">
        <v>41535</v>
      </c>
      <c r="D67" s="167" t="s">
        <v>346</v>
      </c>
      <c r="E67" s="16"/>
      <c r="F67" s="16">
        <v>994.63</v>
      </c>
    </row>
    <row r="68" spans="2:6">
      <c r="B68" s="31"/>
      <c r="C68" s="47">
        <v>41535</v>
      </c>
      <c r="D68" s="38" t="s">
        <v>347</v>
      </c>
      <c r="E68" s="16">
        <v>1080</v>
      </c>
      <c r="F68" s="16"/>
    </row>
    <row r="69" spans="2:6">
      <c r="B69" s="31"/>
      <c r="C69" s="154">
        <v>41536</v>
      </c>
      <c r="D69" s="167" t="s">
        <v>346</v>
      </c>
      <c r="E69" s="16"/>
      <c r="F69" s="16">
        <v>5173.3900000000003</v>
      </c>
    </row>
    <row r="70" spans="2:6">
      <c r="B70" s="31"/>
      <c r="C70" s="47">
        <v>41536</v>
      </c>
      <c r="D70" s="38" t="s">
        <v>347</v>
      </c>
      <c r="E70" s="16">
        <v>9275.01</v>
      </c>
      <c r="F70" s="16"/>
    </row>
    <row r="71" spans="2:6">
      <c r="B71" s="31"/>
      <c r="C71" s="154">
        <v>41537</v>
      </c>
      <c r="D71" s="167" t="s">
        <v>346</v>
      </c>
      <c r="E71" s="16"/>
      <c r="F71" s="16">
        <v>334</v>
      </c>
    </row>
    <row r="72" spans="2:6">
      <c r="B72" s="31"/>
      <c r="C72" s="154">
        <v>41538</v>
      </c>
      <c r="D72" s="167" t="s">
        <v>346</v>
      </c>
      <c r="E72" s="16"/>
      <c r="F72" s="16">
        <v>150</v>
      </c>
    </row>
    <row r="73" spans="2:6">
      <c r="B73" s="31"/>
      <c r="C73" s="47">
        <v>41538</v>
      </c>
      <c r="D73" s="38" t="s">
        <v>347</v>
      </c>
      <c r="E73" s="16">
        <v>500</v>
      </c>
      <c r="F73" s="16"/>
    </row>
    <row r="74" spans="2:6">
      <c r="B74" s="31"/>
      <c r="C74" s="246">
        <v>41540</v>
      </c>
      <c r="D74" s="36" t="s">
        <v>316</v>
      </c>
      <c r="E74" s="16"/>
      <c r="F74" s="16">
        <f>+BANCOS!I350+BANCOS!I450</f>
        <v>26915.446299999996</v>
      </c>
    </row>
    <row r="75" spans="2:6">
      <c r="B75" s="31"/>
      <c r="C75" s="246">
        <v>41540</v>
      </c>
      <c r="D75" s="36" t="s">
        <v>363</v>
      </c>
      <c r="E75" s="16"/>
      <c r="F75" s="16">
        <f>+BANCOS!J350+BANCOS!K350+BANCOS!J450+BANCOS!K450</f>
        <v>3709.6394099999993</v>
      </c>
    </row>
    <row r="76" spans="2:6">
      <c r="B76" s="31"/>
      <c r="C76" s="154">
        <v>41540</v>
      </c>
      <c r="D76" s="167" t="s">
        <v>346</v>
      </c>
      <c r="E76" s="16"/>
      <c r="F76" s="16">
        <v>223</v>
      </c>
    </row>
    <row r="77" spans="2:6">
      <c r="B77" s="31"/>
      <c r="C77" s="47">
        <v>41540</v>
      </c>
      <c r="D77" s="38" t="s">
        <v>347</v>
      </c>
      <c r="E77" s="32">
        <v>4020</v>
      </c>
      <c r="F77" s="35"/>
    </row>
    <row r="78" spans="2:6">
      <c r="B78" s="31"/>
      <c r="C78" s="154">
        <v>41541</v>
      </c>
      <c r="D78" s="167" t="s">
        <v>346</v>
      </c>
      <c r="E78" s="16"/>
      <c r="F78" s="16">
        <v>650</v>
      </c>
    </row>
    <row r="79" spans="2:6">
      <c r="B79" s="31"/>
      <c r="C79" s="47">
        <v>41541</v>
      </c>
      <c r="D79" s="38" t="s">
        <v>347</v>
      </c>
      <c r="E79" s="16">
        <v>2980</v>
      </c>
      <c r="F79" s="16"/>
    </row>
    <row r="80" spans="2:6">
      <c r="B80" s="31"/>
      <c r="C80" s="154">
        <v>41542</v>
      </c>
      <c r="D80" s="167" t="s">
        <v>346</v>
      </c>
      <c r="E80" s="16"/>
      <c r="F80" s="16">
        <v>2305</v>
      </c>
    </row>
    <row r="81" spans="2:6">
      <c r="B81" s="31"/>
      <c r="C81" s="255" t="s">
        <v>339</v>
      </c>
      <c r="D81" s="252" t="s">
        <v>43</v>
      </c>
      <c r="E81" s="16"/>
      <c r="F81" s="16">
        <f>+BANCOS!K25</f>
        <v>499</v>
      </c>
    </row>
    <row r="82" spans="2:6">
      <c r="B82" s="31"/>
      <c r="C82" s="154">
        <v>41543</v>
      </c>
      <c r="D82" s="167" t="s">
        <v>346</v>
      </c>
      <c r="E82" s="16"/>
      <c r="F82" s="16">
        <v>396</v>
      </c>
    </row>
    <row r="83" spans="2:6">
      <c r="B83" s="31"/>
      <c r="C83" s="47">
        <v>41543</v>
      </c>
      <c r="D83" s="38" t="s">
        <v>347</v>
      </c>
      <c r="E83" s="33">
        <v>1494</v>
      </c>
      <c r="F83" s="32"/>
    </row>
    <row r="84" spans="2:6">
      <c r="B84" s="31"/>
      <c r="C84" s="40">
        <v>41544</v>
      </c>
      <c r="D84" s="38" t="s">
        <v>316</v>
      </c>
      <c r="E84" s="16"/>
      <c r="F84" s="16">
        <f>+BANCOS!I337</f>
        <v>10326.9324</v>
      </c>
    </row>
    <row r="85" spans="2:6">
      <c r="B85" s="31"/>
      <c r="C85" s="40">
        <v>41544</v>
      </c>
      <c r="D85" s="38" t="s">
        <v>363</v>
      </c>
      <c r="E85" s="16"/>
      <c r="F85" s="16">
        <f>+BANCOS!J337+BANCOS!K337</f>
        <v>310.7079</v>
      </c>
    </row>
    <row r="86" spans="2:6">
      <c r="B86" s="31"/>
      <c r="C86" s="154">
        <v>41544</v>
      </c>
      <c r="D86" s="167" t="s">
        <v>346</v>
      </c>
      <c r="E86" s="16"/>
      <c r="F86" s="16">
        <f>325.73+3</f>
        <v>328.73</v>
      </c>
    </row>
    <row r="87" spans="2:6">
      <c r="B87" s="31"/>
      <c r="C87" s="47">
        <v>41544</v>
      </c>
      <c r="D87" s="38" t="s">
        <v>347</v>
      </c>
      <c r="E87" s="16">
        <v>4500</v>
      </c>
      <c r="F87" s="16"/>
    </row>
    <row r="88" spans="2:6">
      <c r="B88" s="31"/>
      <c r="C88" s="154">
        <v>41545</v>
      </c>
      <c r="D88" s="167" t="s">
        <v>346</v>
      </c>
      <c r="E88" s="16"/>
      <c r="F88" s="16">
        <v>3408.99</v>
      </c>
    </row>
    <row r="89" spans="2:6">
      <c r="B89" s="31"/>
      <c r="C89" s="255" t="s">
        <v>341</v>
      </c>
      <c r="D89" s="252" t="s">
        <v>30</v>
      </c>
      <c r="E89" s="16"/>
      <c r="F89" s="16">
        <f>+BANCOS!K26</f>
        <v>650</v>
      </c>
    </row>
    <row r="90" spans="2:6">
      <c r="B90" s="31"/>
      <c r="C90" s="255" t="s">
        <v>341</v>
      </c>
      <c r="D90" s="252" t="s">
        <v>37</v>
      </c>
      <c r="E90" s="33"/>
      <c r="F90" s="16">
        <f>+BANCOS!K27</f>
        <v>1193</v>
      </c>
    </row>
    <row r="91" spans="2:6">
      <c r="B91" s="31"/>
      <c r="C91" s="255" t="s">
        <v>341</v>
      </c>
      <c r="D91" s="252" t="s">
        <v>40</v>
      </c>
      <c r="E91" s="16"/>
      <c r="F91" s="16">
        <f>+BANCOS!K28</f>
        <v>624</v>
      </c>
    </row>
    <row r="92" spans="2:6">
      <c r="B92" s="31"/>
      <c r="C92" s="255" t="s">
        <v>341</v>
      </c>
      <c r="D92" s="252" t="s">
        <v>345</v>
      </c>
      <c r="E92" s="33"/>
      <c r="F92" s="16">
        <f>+BANCOS!K29</f>
        <v>33</v>
      </c>
    </row>
    <row r="93" spans="2:6">
      <c r="B93" s="31"/>
      <c r="C93" s="154">
        <v>41547</v>
      </c>
      <c r="D93" s="167" t="s">
        <v>346</v>
      </c>
      <c r="E93" s="16"/>
      <c r="F93" s="16">
        <v>6623.3</v>
      </c>
    </row>
    <row r="94" spans="2:6">
      <c r="B94" s="31"/>
      <c r="C94" s="47">
        <v>41547</v>
      </c>
      <c r="D94" s="38" t="s">
        <v>347</v>
      </c>
      <c r="E94" s="16">
        <v>14240.01</v>
      </c>
      <c r="F94" s="16"/>
    </row>
    <row r="95" spans="2:6">
      <c r="B95" s="31"/>
      <c r="C95" s="246">
        <v>41547</v>
      </c>
      <c r="D95" s="36" t="s">
        <v>351</v>
      </c>
      <c r="E95" s="16"/>
      <c r="F95" s="16">
        <f>+DIARIO!H48</f>
        <v>10003.84</v>
      </c>
    </row>
    <row r="96" spans="2:6" ht="13.5" thickBot="1">
      <c r="B96" s="36"/>
      <c r="C96" s="41"/>
      <c r="D96" s="42"/>
      <c r="E96" s="43"/>
      <c r="F96" s="43"/>
    </row>
    <row r="97" spans="2:7">
      <c r="B97" s="36"/>
      <c r="C97" s="41"/>
      <c r="D97" s="42"/>
      <c r="E97" s="44">
        <f>SUM(E11:E95)</f>
        <v>379743.55914670904</v>
      </c>
      <c r="F97" s="44">
        <f>SUM(F11:F95)</f>
        <v>306014.00341999996</v>
      </c>
    </row>
    <row r="98" spans="2:7">
      <c r="B98" s="36"/>
      <c r="C98" s="41"/>
      <c r="D98" s="45" t="s">
        <v>163</v>
      </c>
      <c r="E98" s="36"/>
      <c r="F98" s="46">
        <f>+E97-F97</f>
        <v>73729.555726709077</v>
      </c>
      <c r="G98" s="92">
        <f>+hw!K6</f>
        <v>73729.555726708844</v>
      </c>
    </row>
    <row r="99" spans="2:7">
      <c r="B99" s="36"/>
      <c r="C99" s="41"/>
      <c r="D99" s="42"/>
      <c r="E99" s="16">
        <f>SUM(E97:E98)</f>
        <v>379743.55914670904</v>
      </c>
      <c r="F99" s="16">
        <f>SUM(F97:F98)</f>
        <v>379743.55914670904</v>
      </c>
    </row>
  </sheetData>
  <autoFilter ref="B8:F95"/>
  <mergeCells count="4">
    <mergeCell ref="B9:B10"/>
    <mergeCell ref="C9:C10"/>
    <mergeCell ref="D9:D10"/>
    <mergeCell ref="E9:F9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4:K700"/>
  <sheetViews>
    <sheetView topLeftCell="A667" zoomScale="90" zoomScaleNormal="90" workbookViewId="0">
      <selection activeCell="I692" sqref="I692"/>
    </sheetView>
  </sheetViews>
  <sheetFormatPr baseColWidth="10" defaultRowHeight="12.75"/>
  <cols>
    <col min="1" max="1" width="15.28515625" customWidth="1"/>
    <col min="2" max="2" width="14.140625" style="69" customWidth="1"/>
    <col min="3" max="3" width="24.42578125" style="69" customWidth="1"/>
    <col min="4" max="4" width="45.5703125" style="69" customWidth="1"/>
    <col min="5" max="5" width="16.85546875" style="69" customWidth="1"/>
    <col min="6" max="6" width="15.28515625" style="69" customWidth="1"/>
    <col min="7" max="7" width="14.5703125" customWidth="1"/>
    <col min="8" max="8" width="13.28515625" customWidth="1"/>
    <col min="9" max="9" width="13.42578125" customWidth="1"/>
  </cols>
  <sheetData>
    <row r="4" spans="2:6">
      <c r="B4" s="51" t="s">
        <v>176</v>
      </c>
      <c r="C4" s="51"/>
      <c r="D4" s="51"/>
      <c r="E4" s="23"/>
      <c r="F4" s="23"/>
    </row>
    <row r="5" spans="2:6">
      <c r="B5" s="22" t="s">
        <v>319</v>
      </c>
      <c r="C5" s="51"/>
      <c r="D5" s="51"/>
      <c r="E5" s="52"/>
      <c r="F5" s="52"/>
    </row>
    <row r="6" spans="2:6">
      <c r="B6" s="22" t="s">
        <v>154</v>
      </c>
      <c r="C6" s="51"/>
      <c r="D6" s="51"/>
      <c r="E6" s="52"/>
      <c r="F6" s="52"/>
    </row>
    <row r="7" spans="2:6">
      <c r="B7" s="22" t="s">
        <v>155</v>
      </c>
      <c r="C7" s="51"/>
      <c r="D7" s="51"/>
      <c r="E7" s="53"/>
      <c r="F7" s="53"/>
    </row>
    <row r="8" spans="2:6">
      <c r="B8" s="51" t="s">
        <v>177</v>
      </c>
      <c r="C8" s="51"/>
      <c r="D8" s="51"/>
      <c r="E8" s="54"/>
      <c r="F8" s="53"/>
    </row>
    <row r="9" spans="2:6" ht="13.5" thickBot="1">
      <c r="B9" s="51"/>
      <c r="C9" s="51"/>
      <c r="D9" s="51"/>
      <c r="E9" s="55"/>
      <c r="F9" s="55"/>
    </row>
    <row r="10" spans="2:6" ht="13.5" thickBot="1">
      <c r="B10" s="264" t="s">
        <v>166</v>
      </c>
      <c r="C10" s="264" t="s">
        <v>178</v>
      </c>
      <c r="D10" s="264" t="s">
        <v>179</v>
      </c>
      <c r="E10" s="272" t="s">
        <v>159</v>
      </c>
      <c r="F10" s="273"/>
    </row>
    <row r="11" spans="2:6" ht="13.5" thickBot="1">
      <c r="B11" s="265"/>
      <c r="C11" s="271"/>
      <c r="D11" s="271"/>
      <c r="E11" s="56" t="s">
        <v>160</v>
      </c>
      <c r="F11" s="56" t="s">
        <v>161</v>
      </c>
    </row>
    <row r="12" spans="2:6">
      <c r="B12" s="27">
        <v>41518</v>
      </c>
      <c r="C12" s="57"/>
      <c r="D12" s="58" t="s">
        <v>162</v>
      </c>
      <c r="E12" s="59">
        <f>+'[1]MAY AGOSTO'!$E$16</f>
        <v>4739031.9413947091</v>
      </c>
      <c r="F12" s="59">
        <f>+'[1]MAY AGOSTO'!$F$16</f>
        <v>4516062.7822480006</v>
      </c>
    </row>
    <row r="13" spans="2:6" ht="15">
      <c r="B13" s="60">
        <v>41547</v>
      </c>
      <c r="C13" s="61"/>
      <c r="D13" s="36" t="s">
        <v>180</v>
      </c>
      <c r="E13" s="62">
        <f>+DIARIO!G13</f>
        <v>156774.39999999999</v>
      </c>
      <c r="F13" s="62"/>
    </row>
    <row r="14" spans="2:6" ht="15">
      <c r="B14" s="60">
        <v>41547</v>
      </c>
      <c r="C14" s="61"/>
      <c r="D14" s="167" t="s">
        <v>291</v>
      </c>
      <c r="E14" s="62"/>
      <c r="F14" s="62">
        <f>+DIARIO!H61</f>
        <v>306014.00341999996</v>
      </c>
    </row>
    <row r="15" spans="2:6" ht="13.5" thickBot="1">
      <c r="B15" s="64"/>
      <c r="C15" s="65"/>
      <c r="D15" s="188"/>
      <c r="E15" s="87"/>
      <c r="F15" s="87"/>
    </row>
    <row r="16" spans="2:6" ht="13.5" thickBot="1">
      <c r="B16" s="55"/>
      <c r="C16" s="55"/>
      <c r="D16" s="67" t="s">
        <v>181</v>
      </c>
      <c r="E16" s="68">
        <f>SUM(E12:E15)</f>
        <v>4895806.3413947094</v>
      </c>
      <c r="F16" s="68">
        <f>SUM(F12:F15)</f>
        <v>4822076.7856680006</v>
      </c>
    </row>
    <row r="18" spans="2:6">
      <c r="B18" s="51" t="s">
        <v>176</v>
      </c>
      <c r="C18" s="51"/>
      <c r="D18" s="51"/>
      <c r="E18" s="23"/>
      <c r="F18" s="23"/>
    </row>
    <row r="19" spans="2:6">
      <c r="B19" s="22" t="s">
        <v>319</v>
      </c>
      <c r="C19" s="51"/>
      <c r="D19" s="70"/>
      <c r="E19" s="52"/>
      <c r="F19" s="52"/>
    </row>
    <row r="20" spans="2:6">
      <c r="B20" s="22" t="s">
        <v>154</v>
      </c>
      <c r="C20" s="51"/>
      <c r="D20" s="51"/>
      <c r="E20" s="52"/>
      <c r="F20" s="52"/>
    </row>
    <row r="21" spans="2:6">
      <c r="B21" s="22" t="s">
        <v>155</v>
      </c>
      <c r="C21" s="51"/>
      <c r="D21" s="51"/>
      <c r="E21" s="53"/>
      <c r="F21" s="53"/>
    </row>
    <row r="22" spans="2:6">
      <c r="B22" s="51" t="s">
        <v>182</v>
      </c>
      <c r="C22" s="51"/>
      <c r="D22" s="51"/>
      <c r="E22" s="54"/>
      <c r="F22" s="53"/>
    </row>
    <row r="23" spans="2:6" ht="13.5" thickBot="1">
      <c r="B23" s="51"/>
      <c r="C23" s="51"/>
      <c r="D23" s="51"/>
      <c r="E23" s="55"/>
      <c r="F23" s="55"/>
    </row>
    <row r="24" spans="2:6" ht="13.5" thickBot="1">
      <c r="B24" s="264" t="s">
        <v>166</v>
      </c>
      <c r="C24" s="264" t="s">
        <v>178</v>
      </c>
      <c r="D24" s="264" t="s">
        <v>179</v>
      </c>
      <c r="E24" s="272" t="s">
        <v>159</v>
      </c>
      <c r="F24" s="273"/>
    </row>
    <row r="25" spans="2:6" ht="13.5" thickBot="1">
      <c r="B25" s="265"/>
      <c r="C25" s="271"/>
      <c r="D25" s="271"/>
      <c r="E25" s="56" t="s">
        <v>160</v>
      </c>
      <c r="F25" s="56" t="s">
        <v>161</v>
      </c>
    </row>
    <row r="26" spans="2:6">
      <c r="B26" s="27">
        <v>41518</v>
      </c>
      <c r="C26" s="57"/>
      <c r="D26" s="58" t="s">
        <v>162</v>
      </c>
      <c r="E26" s="59">
        <f>+'[1]MAY AGOSTO'!$E$30</f>
        <v>3764311.48</v>
      </c>
      <c r="F26" s="59">
        <f>+'[1]MAY AGOSTO'!$F$30</f>
        <v>3764311.4899999998</v>
      </c>
    </row>
    <row r="27" spans="2:6" ht="15">
      <c r="B27" s="60">
        <v>41547</v>
      </c>
      <c r="C27" s="61"/>
      <c r="D27" s="36" t="s">
        <v>183</v>
      </c>
      <c r="E27" s="62">
        <f>+DIARIO!G10</f>
        <v>123007.01</v>
      </c>
      <c r="F27" s="62"/>
    </row>
    <row r="28" spans="2:6" ht="15">
      <c r="B28" s="60">
        <v>41547</v>
      </c>
      <c r="C28" s="61"/>
      <c r="D28" s="36" t="s">
        <v>180</v>
      </c>
      <c r="E28" s="62"/>
      <c r="F28" s="62">
        <f>+DIARIO!H14</f>
        <v>92627.400000000009</v>
      </c>
    </row>
    <row r="29" spans="2:6" ht="15">
      <c r="B29" s="60">
        <v>41547</v>
      </c>
      <c r="C29" s="61"/>
      <c r="D29" s="36" t="s">
        <v>349</v>
      </c>
      <c r="E29" s="63"/>
      <c r="F29" s="63">
        <f>+DIARIO!H18</f>
        <v>30379.599999999999</v>
      </c>
    </row>
    <row r="30" spans="2:6" ht="13.5" thickBot="1">
      <c r="B30" s="60"/>
      <c r="C30" s="65"/>
      <c r="D30" s="181"/>
      <c r="E30" s="192"/>
      <c r="F30" s="192"/>
    </row>
    <row r="31" spans="2:6" ht="13.5" thickBot="1">
      <c r="B31" s="55"/>
      <c r="C31" s="55"/>
      <c r="D31" s="67" t="s">
        <v>181</v>
      </c>
      <c r="E31" s="189">
        <f>SUM(E26:E30)</f>
        <v>3887318.4899999998</v>
      </c>
      <c r="F31" s="189">
        <f>SUM(F26:F30)</f>
        <v>3887318.4899999998</v>
      </c>
    </row>
    <row r="33" spans="2:9">
      <c r="B33" s="51" t="s">
        <v>176</v>
      </c>
      <c r="C33" s="51"/>
      <c r="D33" s="51"/>
      <c r="E33" s="23"/>
      <c r="F33" s="23"/>
    </row>
    <row r="34" spans="2:9">
      <c r="B34" s="22" t="s">
        <v>319</v>
      </c>
      <c r="C34" s="51"/>
      <c r="D34" s="51"/>
      <c r="E34" s="52"/>
      <c r="F34" s="52"/>
      <c r="I34" s="91"/>
    </row>
    <row r="35" spans="2:9">
      <c r="B35" s="22" t="s">
        <v>154</v>
      </c>
      <c r="C35" s="51"/>
      <c r="D35" s="51"/>
      <c r="E35" s="52"/>
      <c r="F35" s="52"/>
    </row>
    <row r="36" spans="2:9">
      <c r="B36" s="22" t="s">
        <v>155</v>
      </c>
      <c r="C36" s="51"/>
      <c r="D36" s="51"/>
      <c r="E36" s="53"/>
      <c r="F36" s="53"/>
    </row>
    <row r="37" spans="2:9">
      <c r="B37" s="51" t="s">
        <v>184</v>
      </c>
      <c r="C37" s="51"/>
      <c r="D37" s="51"/>
      <c r="E37" s="54"/>
      <c r="F37" s="53"/>
    </row>
    <row r="38" spans="2:9" ht="13.5" thickBot="1">
      <c r="B38" s="51"/>
      <c r="C38" s="51"/>
      <c r="D38" s="51"/>
      <c r="E38" s="55"/>
      <c r="F38" s="55"/>
    </row>
    <row r="39" spans="2:9" ht="13.5" customHeight="1" thickBot="1">
      <c r="B39" s="264" t="s">
        <v>166</v>
      </c>
      <c r="C39" s="264" t="s">
        <v>178</v>
      </c>
      <c r="D39" s="264" t="s">
        <v>179</v>
      </c>
      <c r="E39" s="274" t="s">
        <v>159</v>
      </c>
      <c r="F39" s="275"/>
    </row>
    <row r="40" spans="2:9" ht="13.5" thickBot="1">
      <c r="B40" s="265"/>
      <c r="C40" s="265"/>
      <c r="D40" s="265"/>
      <c r="E40" s="56" t="s">
        <v>160</v>
      </c>
      <c r="F40" s="56" t="s">
        <v>161</v>
      </c>
    </row>
    <row r="41" spans="2:9">
      <c r="B41" s="27">
        <v>41518</v>
      </c>
      <c r="C41" s="57"/>
      <c r="D41" s="58" t="s">
        <v>162</v>
      </c>
      <c r="E41" s="59">
        <f>+'[1]MAY AGOSTO'!$E$42</f>
        <v>659724.41</v>
      </c>
      <c r="F41" s="74"/>
    </row>
    <row r="42" spans="2:9" ht="13.5" thickBot="1">
      <c r="B42" s="64"/>
      <c r="C42" s="65"/>
      <c r="D42" s="66"/>
      <c r="E42" s="63"/>
      <c r="F42" s="63"/>
    </row>
    <row r="43" spans="2:9" ht="13.5" thickBot="1">
      <c r="B43" s="55"/>
      <c r="C43" s="55"/>
      <c r="D43" s="67" t="s">
        <v>181</v>
      </c>
      <c r="E43" s="68">
        <f>SUM(E41:E42)</f>
        <v>659724.41</v>
      </c>
      <c r="F43" s="68">
        <f>SUM(F41:F42)</f>
        <v>0</v>
      </c>
    </row>
    <row r="45" spans="2:9">
      <c r="B45" s="51" t="s">
        <v>176</v>
      </c>
      <c r="C45" s="51"/>
      <c r="D45" s="51"/>
      <c r="E45" s="23"/>
      <c r="F45" s="23"/>
    </row>
    <row r="46" spans="2:9">
      <c r="B46" s="22" t="s">
        <v>319</v>
      </c>
      <c r="C46" s="51"/>
      <c r="D46" s="51"/>
      <c r="E46" s="52"/>
      <c r="F46" s="52"/>
    </row>
    <row r="47" spans="2:9">
      <c r="B47" s="22" t="s">
        <v>154</v>
      </c>
      <c r="C47" s="51"/>
      <c r="D47" s="51"/>
      <c r="E47" s="52"/>
      <c r="F47" s="52"/>
    </row>
    <row r="48" spans="2:9">
      <c r="B48" s="22" t="s">
        <v>155</v>
      </c>
      <c r="C48" s="51"/>
      <c r="D48" s="51"/>
      <c r="E48" s="53"/>
      <c r="F48" s="53"/>
    </row>
    <row r="49" spans="1:6">
      <c r="B49" s="51" t="s">
        <v>185</v>
      </c>
      <c r="C49" s="51"/>
      <c r="D49" s="51"/>
      <c r="E49" s="54"/>
      <c r="F49" s="53"/>
    </row>
    <row r="50" spans="1:6" ht="13.5" thickBot="1">
      <c r="B50" s="51"/>
      <c r="C50" s="51"/>
      <c r="D50" s="51"/>
      <c r="E50" s="55"/>
      <c r="F50" s="55"/>
    </row>
    <row r="51" spans="1:6" ht="13.5" customHeight="1" thickBot="1">
      <c r="B51" s="264" t="s">
        <v>166</v>
      </c>
      <c r="C51" s="264" t="s">
        <v>178</v>
      </c>
      <c r="D51" s="264" t="s">
        <v>179</v>
      </c>
      <c r="E51" s="274" t="s">
        <v>159</v>
      </c>
      <c r="F51" s="275"/>
    </row>
    <row r="52" spans="1:6" ht="13.5" thickBot="1">
      <c r="B52" s="265"/>
      <c r="C52" s="265"/>
      <c r="D52" s="265"/>
      <c r="E52" s="56" t="s">
        <v>160</v>
      </c>
      <c r="F52" s="56" t="s">
        <v>161</v>
      </c>
    </row>
    <row r="53" spans="1:6">
      <c r="B53" s="27">
        <v>41518</v>
      </c>
      <c r="C53" s="57"/>
      <c r="D53" s="58" t="s">
        <v>162</v>
      </c>
      <c r="E53" s="59">
        <f>+'[1]MAY AGOSTO'!$E$54</f>
        <v>57453.8</v>
      </c>
      <c r="F53" s="74"/>
    </row>
    <row r="54" spans="1:6" ht="13.5" thickBot="1">
      <c r="B54" s="64"/>
      <c r="C54" s="65"/>
      <c r="D54" s="66"/>
      <c r="E54" s="63"/>
      <c r="F54" s="63"/>
    </row>
    <row r="55" spans="1:6" ht="13.5" thickBot="1">
      <c r="B55" s="55"/>
      <c r="C55" s="55"/>
      <c r="D55" s="67" t="s">
        <v>181</v>
      </c>
      <c r="E55" s="68">
        <f>SUM(E53:E54)</f>
        <v>57453.8</v>
      </c>
      <c r="F55" s="68">
        <f>SUM(F53:F54)</f>
        <v>0</v>
      </c>
    </row>
    <row r="57" spans="1:6">
      <c r="B57" s="51" t="s">
        <v>176</v>
      </c>
      <c r="C57" s="51"/>
      <c r="D57" s="51"/>
      <c r="E57" s="23"/>
      <c r="F57" s="23"/>
    </row>
    <row r="58" spans="1:6">
      <c r="A58" s="75"/>
      <c r="B58" s="22" t="s">
        <v>319</v>
      </c>
      <c r="C58" s="51"/>
      <c r="D58" s="51"/>
      <c r="E58" s="52"/>
      <c r="F58" s="52"/>
    </row>
    <row r="59" spans="1:6">
      <c r="B59" s="22" t="s">
        <v>154</v>
      </c>
      <c r="C59" s="51"/>
      <c r="D59" s="51"/>
      <c r="E59" s="52"/>
      <c r="F59" s="52"/>
    </row>
    <row r="60" spans="1:6">
      <c r="B60" s="22" t="s">
        <v>155</v>
      </c>
      <c r="C60" s="51"/>
      <c r="D60" s="51"/>
      <c r="E60" s="53"/>
      <c r="F60" s="53"/>
    </row>
    <row r="61" spans="1:6">
      <c r="B61" s="51" t="s">
        <v>186</v>
      </c>
      <c r="C61" s="51"/>
      <c r="D61" s="51"/>
      <c r="E61" s="54"/>
      <c r="F61" s="53"/>
    </row>
    <row r="62" spans="1:6" ht="13.5" thickBot="1">
      <c r="B62" s="51"/>
      <c r="C62" s="51"/>
      <c r="D62" s="51"/>
      <c r="E62" s="55"/>
      <c r="F62" s="55"/>
    </row>
    <row r="63" spans="1:6" ht="13.5" customHeight="1" thickBot="1">
      <c r="B63" s="264" t="s">
        <v>166</v>
      </c>
      <c r="C63" s="264" t="s">
        <v>178</v>
      </c>
      <c r="D63" s="264" t="s">
        <v>179</v>
      </c>
      <c r="E63" s="274" t="s">
        <v>159</v>
      </c>
      <c r="F63" s="275"/>
    </row>
    <row r="64" spans="1:6" ht="13.5" thickBot="1">
      <c r="B64" s="265"/>
      <c r="C64" s="265"/>
      <c r="D64" s="265"/>
      <c r="E64" s="56" t="s">
        <v>160</v>
      </c>
      <c r="F64" s="56" t="s">
        <v>161</v>
      </c>
    </row>
    <row r="65" spans="2:6">
      <c r="B65" s="27">
        <v>41518</v>
      </c>
      <c r="C65" s="57"/>
      <c r="D65" s="58" t="s">
        <v>162</v>
      </c>
      <c r="E65" s="59">
        <f>+'[1]MAY AGOSTO'!$E$66</f>
        <v>286733.11499999999</v>
      </c>
      <c r="F65" s="74"/>
    </row>
    <row r="66" spans="2:6" ht="13.5" thickBot="1">
      <c r="B66" s="64"/>
      <c r="C66" s="65"/>
      <c r="D66" s="66"/>
      <c r="E66" s="63"/>
      <c r="F66" s="63"/>
    </row>
    <row r="67" spans="2:6" ht="13.5" thickBot="1">
      <c r="B67" s="55"/>
      <c r="C67" s="55"/>
      <c r="D67" s="67" t="s">
        <v>181</v>
      </c>
      <c r="E67" s="68">
        <f>SUM(E65:E66)</f>
        <v>286733.11499999999</v>
      </c>
      <c r="F67" s="68">
        <f>SUM(F65:F66)</f>
        <v>0</v>
      </c>
    </row>
    <row r="69" spans="2:6">
      <c r="B69" s="51" t="s">
        <v>176</v>
      </c>
      <c r="C69" s="51"/>
      <c r="D69" s="51"/>
      <c r="E69" s="23"/>
      <c r="F69" s="23"/>
    </row>
    <row r="70" spans="2:6">
      <c r="B70" s="22" t="s">
        <v>319</v>
      </c>
      <c r="C70" s="51"/>
      <c r="D70" s="51"/>
      <c r="E70" s="52"/>
      <c r="F70" s="52"/>
    </row>
    <row r="71" spans="2:6">
      <c r="B71" s="22" t="s">
        <v>154</v>
      </c>
      <c r="C71" s="51"/>
      <c r="D71" s="51"/>
      <c r="E71" s="52"/>
      <c r="F71" s="52"/>
    </row>
    <row r="72" spans="2:6">
      <c r="B72" s="22" t="s">
        <v>155</v>
      </c>
      <c r="C72" s="51"/>
      <c r="D72" s="51"/>
      <c r="E72" s="53"/>
      <c r="F72" s="53"/>
    </row>
    <row r="73" spans="2:6">
      <c r="B73" s="51" t="s">
        <v>188</v>
      </c>
      <c r="C73" s="51"/>
      <c r="D73" s="51"/>
      <c r="E73" s="54"/>
      <c r="F73" s="53"/>
    </row>
    <row r="74" spans="2:6" ht="13.5" thickBot="1">
      <c r="B74" s="51"/>
      <c r="C74" s="51"/>
      <c r="D74" s="51"/>
      <c r="E74" s="55"/>
      <c r="F74" s="55"/>
    </row>
    <row r="75" spans="2:6" ht="13.5" thickBot="1">
      <c r="B75" s="264" t="s">
        <v>166</v>
      </c>
      <c r="C75" s="264" t="s">
        <v>178</v>
      </c>
      <c r="D75" s="264" t="s">
        <v>179</v>
      </c>
      <c r="E75" s="272" t="s">
        <v>159</v>
      </c>
      <c r="F75" s="273"/>
    </row>
    <row r="76" spans="2:6" ht="13.5" thickBot="1">
      <c r="B76" s="265"/>
      <c r="C76" s="271"/>
      <c r="D76" s="271"/>
      <c r="E76" s="56" t="s">
        <v>160</v>
      </c>
      <c r="F76" s="56" t="s">
        <v>161</v>
      </c>
    </row>
    <row r="77" spans="2:6">
      <c r="B77" s="27">
        <v>41518</v>
      </c>
      <c r="C77" s="57"/>
      <c r="D77" s="58" t="s">
        <v>162</v>
      </c>
      <c r="E77" s="59">
        <f>+'[1]MAY AGOSTO'!$E$78</f>
        <v>3162644.3760750005</v>
      </c>
      <c r="F77" s="74"/>
    </row>
    <row r="78" spans="2:6">
      <c r="B78" s="256">
        <v>41547</v>
      </c>
      <c r="C78" s="257"/>
      <c r="D78" s="36" t="s">
        <v>357</v>
      </c>
      <c r="E78" s="16">
        <f>+DIARIO!G38</f>
        <v>126028.5</v>
      </c>
      <c r="F78" s="187"/>
    </row>
    <row r="79" spans="2:6" ht="13.5" thickBot="1">
      <c r="B79" s="64"/>
      <c r="C79" s="65"/>
      <c r="D79" s="188"/>
      <c r="E79" s="63"/>
      <c r="F79" s="63"/>
    </row>
    <row r="80" spans="2:6" ht="13.5" thickBot="1">
      <c r="B80" s="55"/>
      <c r="C80" s="55"/>
      <c r="D80" s="67" t="s">
        <v>181</v>
      </c>
      <c r="E80" s="68">
        <f>SUM(E77:E79)</f>
        <v>3288672.8760750005</v>
      </c>
      <c r="F80" s="68">
        <f>SUM(F77:F79)</f>
        <v>0</v>
      </c>
    </row>
    <row r="82" spans="1:6">
      <c r="B82" s="51" t="s">
        <v>176</v>
      </c>
      <c r="C82" s="51"/>
      <c r="D82" s="51"/>
      <c r="E82" s="23"/>
      <c r="F82" s="23"/>
    </row>
    <row r="83" spans="1:6">
      <c r="B83" s="22" t="s">
        <v>319</v>
      </c>
      <c r="C83" s="51"/>
      <c r="D83" s="51"/>
      <c r="E83" s="52"/>
      <c r="F83" s="52"/>
    </row>
    <row r="84" spans="1:6">
      <c r="B84" s="22" t="s">
        <v>154</v>
      </c>
      <c r="C84" s="51"/>
      <c r="D84" s="51"/>
      <c r="E84" s="52"/>
      <c r="F84" s="52"/>
    </row>
    <row r="85" spans="1:6">
      <c r="B85" s="22" t="s">
        <v>155</v>
      </c>
      <c r="C85" s="51"/>
      <c r="D85" s="51"/>
      <c r="E85" s="53"/>
      <c r="F85" s="53"/>
    </row>
    <row r="86" spans="1:6">
      <c r="B86" s="51" t="s">
        <v>189</v>
      </c>
      <c r="C86" s="51"/>
      <c r="D86" s="51"/>
      <c r="E86" s="54"/>
      <c r="F86" s="53"/>
    </row>
    <row r="87" spans="1:6" ht="13.5" thickBot="1">
      <c r="B87" s="51"/>
      <c r="C87" s="51"/>
      <c r="D87" s="51"/>
      <c r="E87" s="55"/>
      <c r="F87" s="55"/>
    </row>
    <row r="88" spans="1:6" ht="13.5" thickBot="1">
      <c r="B88" s="264" t="s">
        <v>166</v>
      </c>
      <c r="C88" s="264" t="s">
        <v>178</v>
      </c>
      <c r="D88" s="264" t="s">
        <v>179</v>
      </c>
      <c r="E88" s="272" t="s">
        <v>159</v>
      </c>
      <c r="F88" s="273"/>
    </row>
    <row r="89" spans="1:6" ht="13.5" thickBot="1">
      <c r="B89" s="265"/>
      <c r="C89" s="271"/>
      <c r="D89" s="271"/>
      <c r="E89" s="56" t="s">
        <v>160</v>
      </c>
      <c r="F89" s="56" t="s">
        <v>161</v>
      </c>
    </row>
    <row r="90" spans="1:6">
      <c r="B90" s="27">
        <v>41518</v>
      </c>
      <c r="C90" s="57"/>
      <c r="D90" s="58" t="s">
        <v>162</v>
      </c>
      <c r="E90" s="76">
        <f>+'[1]MAY AGOSTO'!$E$90</f>
        <v>74612.5</v>
      </c>
      <c r="F90" s="74"/>
    </row>
    <row r="91" spans="1:6" ht="13.5" thickBot="1">
      <c r="B91" s="64"/>
      <c r="C91" s="65"/>
      <c r="D91" s="188"/>
      <c r="E91" s="87"/>
      <c r="F91" s="87"/>
    </row>
    <row r="92" spans="1:6" ht="13.5" thickBot="1">
      <c r="B92" s="55"/>
      <c r="C92" s="55"/>
      <c r="D92" s="67" t="s">
        <v>181</v>
      </c>
      <c r="E92" s="68">
        <f>SUM(E90:E91)</f>
        <v>74612.5</v>
      </c>
      <c r="F92" s="68">
        <f>SUM(F90:F91)</f>
        <v>0</v>
      </c>
    </row>
    <row r="94" spans="1:6">
      <c r="B94" s="51" t="s">
        <v>176</v>
      </c>
      <c r="C94" s="51"/>
      <c r="D94" s="51"/>
      <c r="E94" s="23"/>
      <c r="F94" s="23"/>
    </row>
    <row r="95" spans="1:6">
      <c r="A95" s="75"/>
      <c r="B95" s="22" t="s">
        <v>319</v>
      </c>
      <c r="C95" s="51"/>
      <c r="D95" s="51"/>
      <c r="E95" s="52"/>
      <c r="F95" s="52"/>
    </row>
    <row r="96" spans="1:6">
      <c r="B96" s="22" t="s">
        <v>154</v>
      </c>
      <c r="C96" s="51"/>
      <c r="D96" s="51"/>
      <c r="E96" s="52"/>
      <c r="F96" s="52"/>
    </row>
    <row r="97" spans="2:6">
      <c r="B97" s="22" t="s">
        <v>155</v>
      </c>
      <c r="C97" s="51"/>
      <c r="D97" s="51"/>
      <c r="E97" s="53"/>
      <c r="F97" s="53"/>
    </row>
    <row r="98" spans="2:6">
      <c r="B98" s="51" t="s">
        <v>294</v>
      </c>
      <c r="C98" s="51"/>
      <c r="D98" s="51"/>
      <c r="E98" s="54"/>
      <c r="F98" s="53"/>
    </row>
    <row r="99" spans="2:6" ht="13.5" thickBot="1">
      <c r="B99" s="51"/>
      <c r="C99" s="51"/>
      <c r="D99" s="51"/>
      <c r="E99" s="55"/>
      <c r="F99" s="55"/>
    </row>
    <row r="100" spans="2:6" ht="13.5" thickBot="1">
      <c r="B100" s="264" t="s">
        <v>166</v>
      </c>
      <c r="C100" s="264" t="s">
        <v>178</v>
      </c>
      <c r="D100" s="264" t="s">
        <v>179</v>
      </c>
      <c r="E100" s="272" t="s">
        <v>159</v>
      </c>
      <c r="F100" s="273"/>
    </row>
    <row r="101" spans="2:6" ht="13.5" thickBot="1">
      <c r="B101" s="265"/>
      <c r="C101" s="271"/>
      <c r="D101" s="271"/>
      <c r="E101" s="56" t="s">
        <v>160</v>
      </c>
      <c r="F101" s="56" t="s">
        <v>161</v>
      </c>
    </row>
    <row r="102" spans="2:6">
      <c r="B102" s="27">
        <v>41518</v>
      </c>
      <c r="C102" s="57"/>
      <c r="D102" s="58" t="s">
        <v>162</v>
      </c>
      <c r="E102" s="59">
        <f>+'[1]MAY AGOSTO'!$E$102</f>
        <v>101177.31</v>
      </c>
      <c r="F102" s="74"/>
    </row>
    <row r="103" spans="2:6" ht="13.5" thickBot="1">
      <c r="B103" s="64"/>
      <c r="C103" s="65"/>
      <c r="D103" s="66"/>
      <c r="E103" s="63"/>
      <c r="F103" s="63"/>
    </row>
    <row r="104" spans="2:6" ht="13.5" thickBot="1">
      <c r="B104" s="55"/>
      <c r="C104" s="55"/>
      <c r="D104" s="67" t="s">
        <v>181</v>
      </c>
      <c r="E104" s="68">
        <f>SUM(E102:E103)</f>
        <v>101177.31</v>
      </c>
      <c r="F104" s="68">
        <f>SUM(F102:F103)</f>
        <v>0</v>
      </c>
    </row>
    <row r="106" spans="2:6">
      <c r="B106" s="51" t="s">
        <v>176</v>
      </c>
      <c r="C106" s="51"/>
      <c r="D106" s="51"/>
      <c r="E106" s="23"/>
      <c r="F106" s="23"/>
    </row>
    <row r="107" spans="2:6">
      <c r="B107" s="22" t="s">
        <v>319</v>
      </c>
      <c r="C107" s="51"/>
      <c r="D107" s="51"/>
      <c r="E107" s="52"/>
      <c r="F107" s="52"/>
    </row>
    <row r="108" spans="2:6">
      <c r="B108" s="22" t="s">
        <v>154</v>
      </c>
      <c r="C108" s="51"/>
      <c r="D108" s="51"/>
      <c r="E108" s="52"/>
      <c r="F108" s="52"/>
    </row>
    <row r="109" spans="2:6">
      <c r="B109" s="22" t="s">
        <v>155</v>
      </c>
      <c r="C109" s="51"/>
      <c r="D109" s="51"/>
      <c r="E109" s="53"/>
      <c r="F109" s="53"/>
    </row>
    <row r="110" spans="2:6">
      <c r="B110" s="51" t="s">
        <v>190</v>
      </c>
      <c r="C110" s="51"/>
      <c r="D110" s="51"/>
      <c r="E110" s="54"/>
      <c r="F110" s="53"/>
    </row>
    <row r="111" spans="2:6" ht="13.5" thickBot="1">
      <c r="B111" s="51"/>
      <c r="C111" s="51"/>
      <c r="D111" s="51"/>
      <c r="E111" s="55"/>
      <c r="F111" s="55"/>
    </row>
    <row r="112" spans="2:6" ht="13.5" thickBot="1">
      <c r="B112" s="264" t="s">
        <v>166</v>
      </c>
      <c r="C112" s="264" t="s">
        <v>178</v>
      </c>
      <c r="D112" s="264" t="s">
        <v>179</v>
      </c>
      <c r="E112" s="272" t="s">
        <v>159</v>
      </c>
      <c r="F112" s="273"/>
    </row>
    <row r="113" spans="2:6" ht="13.5" thickBot="1">
      <c r="B113" s="265"/>
      <c r="C113" s="271"/>
      <c r="D113" s="271"/>
      <c r="E113" s="56" t="s">
        <v>160</v>
      </c>
      <c r="F113" s="56" t="s">
        <v>161</v>
      </c>
    </row>
    <row r="114" spans="2:6">
      <c r="B114" s="27">
        <v>41518</v>
      </c>
      <c r="C114" s="57"/>
      <c r="D114" s="58" t="s">
        <v>162</v>
      </c>
      <c r="E114" s="59">
        <f>+'[1]MAY AGOSTO'!$E$114</f>
        <v>15703.98</v>
      </c>
      <c r="F114" s="74"/>
    </row>
    <row r="115" spans="2:6" ht="13.5" thickBot="1">
      <c r="B115" s="64"/>
      <c r="C115" s="65"/>
      <c r="D115" s="188"/>
      <c r="E115" s="87"/>
      <c r="F115" s="87"/>
    </row>
    <row r="116" spans="2:6" ht="13.5" thickBot="1">
      <c r="B116" s="55"/>
      <c r="C116" s="55"/>
      <c r="D116" s="67" t="s">
        <v>181</v>
      </c>
      <c r="E116" s="68">
        <f>SUM(E114:E115)</f>
        <v>15703.98</v>
      </c>
      <c r="F116" s="68">
        <f>SUM(F114:F115)</f>
        <v>0</v>
      </c>
    </row>
    <row r="118" spans="2:6">
      <c r="B118" s="51" t="s">
        <v>176</v>
      </c>
      <c r="C118" s="51"/>
      <c r="D118" s="51"/>
      <c r="E118" s="23"/>
      <c r="F118" s="23"/>
    </row>
    <row r="119" spans="2:6">
      <c r="B119" s="22" t="s">
        <v>319</v>
      </c>
      <c r="C119" s="51"/>
      <c r="D119" s="51"/>
      <c r="E119" s="52"/>
      <c r="F119" s="52"/>
    </row>
    <row r="120" spans="2:6">
      <c r="B120" s="22" t="s">
        <v>154</v>
      </c>
      <c r="C120" s="51"/>
      <c r="D120" s="51"/>
      <c r="E120" s="52"/>
      <c r="F120" s="52"/>
    </row>
    <row r="121" spans="2:6">
      <c r="B121" s="22" t="s">
        <v>155</v>
      </c>
      <c r="C121" s="51"/>
      <c r="D121" s="51"/>
      <c r="E121" s="53"/>
      <c r="F121" s="53"/>
    </row>
    <row r="122" spans="2:6">
      <c r="B122" s="51" t="s">
        <v>191</v>
      </c>
      <c r="C122" s="51"/>
      <c r="D122" s="51"/>
      <c r="E122" s="54"/>
      <c r="F122" s="53"/>
    </row>
    <row r="123" spans="2:6" ht="13.5" thickBot="1">
      <c r="B123" s="51"/>
      <c r="C123" s="51"/>
      <c r="D123" s="51"/>
      <c r="E123" s="55"/>
      <c r="F123" s="55"/>
    </row>
    <row r="124" spans="2:6" ht="13.5" thickBot="1">
      <c r="B124" s="264" t="s">
        <v>166</v>
      </c>
      <c r="C124" s="264" t="s">
        <v>178</v>
      </c>
      <c r="D124" s="264" t="s">
        <v>179</v>
      </c>
      <c r="E124" s="272" t="s">
        <v>159</v>
      </c>
      <c r="F124" s="273"/>
    </row>
    <row r="125" spans="2:6" ht="13.5" thickBot="1">
      <c r="B125" s="265"/>
      <c r="C125" s="271"/>
      <c r="D125" s="271"/>
      <c r="E125" s="56" t="s">
        <v>160</v>
      </c>
      <c r="F125" s="56" t="s">
        <v>161</v>
      </c>
    </row>
    <row r="126" spans="2:6">
      <c r="B126" s="27">
        <v>41518</v>
      </c>
      <c r="C126" s="57"/>
      <c r="D126" s="58" t="s">
        <v>162</v>
      </c>
      <c r="E126" s="59">
        <f>+'[1]MAY AGOSTO'!$E$126</f>
        <v>90374.080000000002</v>
      </c>
      <c r="F126" s="74"/>
    </row>
    <row r="127" spans="2:6">
      <c r="B127" s="256">
        <v>41547</v>
      </c>
      <c r="C127" s="257"/>
      <c r="D127" s="71" t="s">
        <v>279</v>
      </c>
      <c r="E127" s="16">
        <f>+DIARIO!G25</f>
        <v>12000</v>
      </c>
      <c r="F127" s="187"/>
    </row>
    <row r="128" spans="2:6" ht="13.5" thickBot="1">
      <c r="B128" s="64"/>
      <c r="C128" s="65"/>
      <c r="D128" s="188"/>
      <c r="E128" s="192"/>
      <c r="F128" s="192"/>
    </row>
    <row r="129" spans="2:6" ht="13.5" thickBot="1">
      <c r="B129" s="55"/>
      <c r="C129" s="55"/>
      <c r="D129" s="67" t="s">
        <v>181</v>
      </c>
      <c r="E129" s="189">
        <f>SUM(E126:E128)</f>
        <v>102374.08</v>
      </c>
      <c r="F129" s="189">
        <f>SUM(F126:F128)</f>
        <v>0</v>
      </c>
    </row>
    <row r="131" spans="2:6">
      <c r="B131" s="51" t="s">
        <v>176</v>
      </c>
      <c r="C131" s="51"/>
      <c r="D131" s="51"/>
      <c r="E131" s="23"/>
      <c r="F131" s="23"/>
    </row>
    <row r="132" spans="2:6">
      <c r="B132" s="22" t="s">
        <v>319</v>
      </c>
      <c r="C132" s="51"/>
      <c r="D132" s="51"/>
      <c r="E132" s="52"/>
      <c r="F132" s="52"/>
    </row>
    <row r="133" spans="2:6">
      <c r="B133" s="22" t="s">
        <v>154</v>
      </c>
      <c r="C133" s="51"/>
      <c r="D133" s="51"/>
      <c r="E133" s="52"/>
      <c r="F133" s="52"/>
    </row>
    <row r="134" spans="2:6">
      <c r="B134" s="22" t="s">
        <v>155</v>
      </c>
      <c r="C134" s="51"/>
      <c r="D134" s="51"/>
      <c r="E134" s="53"/>
      <c r="F134" s="53"/>
    </row>
    <row r="135" spans="2:6">
      <c r="B135" s="51" t="s">
        <v>192</v>
      </c>
      <c r="C135" s="51"/>
      <c r="D135" s="51"/>
      <c r="E135" s="54"/>
      <c r="F135" s="53"/>
    </row>
    <row r="136" spans="2:6" ht="13.5" thickBot="1">
      <c r="B136" s="51"/>
      <c r="C136" s="51"/>
      <c r="D136" s="51"/>
      <c r="E136" s="55"/>
      <c r="F136" s="55"/>
    </row>
    <row r="137" spans="2:6" ht="13.5" thickBot="1">
      <c r="B137" s="264" t="s">
        <v>166</v>
      </c>
      <c r="C137" s="264" t="s">
        <v>178</v>
      </c>
      <c r="D137" s="264" t="s">
        <v>179</v>
      </c>
      <c r="E137" s="272" t="s">
        <v>159</v>
      </c>
      <c r="F137" s="273"/>
    </row>
    <row r="138" spans="2:6" ht="13.5" thickBot="1">
      <c r="B138" s="265"/>
      <c r="C138" s="271"/>
      <c r="D138" s="271"/>
      <c r="E138" s="56" t="s">
        <v>160</v>
      </c>
      <c r="F138" s="56" t="s">
        <v>161</v>
      </c>
    </row>
    <row r="139" spans="2:6">
      <c r="B139" s="27">
        <v>41518</v>
      </c>
      <c r="C139" s="57"/>
      <c r="D139" s="58" t="s">
        <v>162</v>
      </c>
      <c r="E139" s="59">
        <f>+'[1]MAY AGOSTO'!$E$138</f>
        <v>786177.89999999991</v>
      </c>
      <c r="F139" s="74"/>
    </row>
    <row r="140" spans="2:6" ht="13.5" thickBot="1">
      <c r="B140" s="64"/>
      <c r="C140" s="65"/>
      <c r="D140" s="188"/>
      <c r="E140" s="87"/>
      <c r="F140" s="87"/>
    </row>
    <row r="141" spans="2:6" ht="13.5" thickBot="1">
      <c r="B141" s="55"/>
      <c r="C141" s="55"/>
      <c r="D141" s="67" t="s">
        <v>181</v>
      </c>
      <c r="E141" s="68">
        <f>SUM(E139:E140)</f>
        <v>786177.89999999991</v>
      </c>
      <c r="F141" s="68">
        <f>SUM(F139:F140)</f>
        <v>0</v>
      </c>
    </row>
    <row r="143" spans="2:6">
      <c r="B143" s="51" t="s">
        <v>176</v>
      </c>
      <c r="C143" s="51"/>
      <c r="D143" s="51"/>
      <c r="E143" s="23"/>
      <c r="F143" s="23"/>
    </row>
    <row r="144" spans="2:6">
      <c r="B144" s="22" t="s">
        <v>319</v>
      </c>
      <c r="C144" s="51"/>
      <c r="D144" s="51"/>
      <c r="E144" s="52"/>
      <c r="F144" s="52"/>
    </row>
    <row r="145" spans="2:6">
      <c r="B145" s="22" t="s">
        <v>154</v>
      </c>
      <c r="C145" s="51"/>
      <c r="D145" s="51"/>
      <c r="E145" s="52"/>
      <c r="F145" s="52"/>
    </row>
    <row r="146" spans="2:6">
      <c r="B146" s="22" t="s">
        <v>155</v>
      </c>
      <c r="C146" s="51"/>
      <c r="D146" s="51"/>
      <c r="E146" s="53"/>
      <c r="F146" s="53"/>
    </row>
    <row r="147" spans="2:6">
      <c r="B147" s="51" t="s">
        <v>292</v>
      </c>
      <c r="C147" s="51"/>
      <c r="D147" s="51"/>
      <c r="E147" s="54"/>
      <c r="F147" s="53"/>
    </row>
    <row r="148" spans="2:6" ht="13.5" thickBot="1">
      <c r="B148" s="51"/>
      <c r="C148" s="51"/>
      <c r="D148" s="51"/>
      <c r="E148" s="55"/>
      <c r="F148" s="55"/>
    </row>
    <row r="149" spans="2:6" ht="13.5" thickBot="1">
      <c r="B149" s="264" t="s">
        <v>166</v>
      </c>
      <c r="C149" s="264" t="s">
        <v>178</v>
      </c>
      <c r="D149" s="264" t="s">
        <v>179</v>
      </c>
      <c r="E149" s="272" t="s">
        <v>159</v>
      </c>
      <c r="F149" s="273"/>
    </row>
    <row r="150" spans="2:6" ht="13.5" thickBot="1">
      <c r="B150" s="265"/>
      <c r="C150" s="271"/>
      <c r="D150" s="271"/>
      <c r="E150" s="56" t="s">
        <v>160</v>
      </c>
      <c r="F150" s="56" t="s">
        <v>161</v>
      </c>
    </row>
    <row r="151" spans="2:6">
      <c r="B151" s="27">
        <v>41518</v>
      </c>
      <c r="C151" s="57"/>
      <c r="D151" s="58" t="s">
        <v>162</v>
      </c>
      <c r="E151" s="59">
        <f>+'[1]MAY AGOSTO'!$E$152</f>
        <v>195621.78575500011</v>
      </c>
      <c r="F151" s="74">
        <f>+'[1]MAY AGOSTO'!$F$152</f>
        <v>56170.579290000001</v>
      </c>
    </row>
    <row r="152" spans="2:6">
      <c r="B152" s="60">
        <v>41547</v>
      </c>
      <c r="C152" s="57"/>
      <c r="D152" s="36" t="s">
        <v>289</v>
      </c>
      <c r="E152" s="16">
        <f>+DIARIO!G15</f>
        <v>2847.3179899999996</v>
      </c>
      <c r="F152" s="62"/>
    </row>
    <row r="153" spans="2:6">
      <c r="B153" s="60">
        <v>41547</v>
      </c>
      <c r="C153" s="57"/>
      <c r="D153" s="36" t="s">
        <v>187</v>
      </c>
      <c r="E153" s="16"/>
      <c r="F153" s="62">
        <f>+DIARIO!H24</f>
        <v>8544.02</v>
      </c>
    </row>
    <row r="154" spans="2:6" ht="13.5" thickBot="1">
      <c r="B154" s="64"/>
      <c r="C154" s="65"/>
      <c r="D154" s="188"/>
      <c r="E154" s="87"/>
      <c r="F154" s="87"/>
    </row>
    <row r="155" spans="2:6" ht="13.5" thickBot="1">
      <c r="B155" s="55"/>
      <c r="C155" s="55"/>
      <c r="D155" s="67" t="s">
        <v>181</v>
      </c>
      <c r="E155" s="68">
        <f>SUM(E151:E154)</f>
        <v>198469.10374500012</v>
      </c>
      <c r="F155" s="68">
        <f>SUM(F151:F154)</f>
        <v>64714.599289999998</v>
      </c>
    </row>
    <row r="156" spans="2:6">
      <c r="B156" s="55"/>
      <c r="C156" s="55"/>
      <c r="D156" s="67"/>
      <c r="E156" s="83"/>
      <c r="F156" s="83"/>
    </row>
    <row r="157" spans="2:6">
      <c r="B157" s="51" t="s">
        <v>176</v>
      </c>
      <c r="C157" s="51"/>
      <c r="D157" s="51"/>
      <c r="E157" s="23"/>
      <c r="F157" s="23"/>
    </row>
    <row r="158" spans="2:6">
      <c r="B158" s="22" t="s">
        <v>319</v>
      </c>
      <c r="C158" s="51"/>
      <c r="D158" s="51"/>
      <c r="E158" s="52"/>
      <c r="F158" s="52"/>
    </row>
    <row r="159" spans="2:6">
      <c r="B159" s="22" t="s">
        <v>154</v>
      </c>
      <c r="C159" s="51"/>
      <c r="D159" s="51"/>
      <c r="E159" s="52"/>
      <c r="F159" s="52"/>
    </row>
    <row r="160" spans="2:6">
      <c r="B160" s="22" t="s">
        <v>155</v>
      </c>
      <c r="C160" s="51"/>
      <c r="D160" s="51"/>
      <c r="E160" s="53"/>
      <c r="F160" s="53"/>
    </row>
    <row r="161" spans="1:6">
      <c r="B161" s="51" t="s">
        <v>193</v>
      </c>
      <c r="C161" s="51"/>
      <c r="D161" s="51"/>
      <c r="E161" s="54"/>
      <c r="F161" s="53"/>
    </row>
    <row r="162" spans="1:6" ht="13.5" thickBot="1">
      <c r="B162" s="51"/>
      <c r="C162" s="51"/>
      <c r="D162" s="51"/>
      <c r="E162" s="55"/>
      <c r="F162" s="55"/>
    </row>
    <row r="163" spans="1:6" ht="13.5" thickBot="1">
      <c r="B163" s="264" t="s">
        <v>166</v>
      </c>
      <c r="C163" s="264" t="s">
        <v>178</v>
      </c>
      <c r="D163" s="264" t="s">
        <v>179</v>
      </c>
      <c r="E163" s="272" t="s">
        <v>159</v>
      </c>
      <c r="F163" s="273"/>
    </row>
    <row r="164" spans="1:6" ht="13.5" thickBot="1">
      <c r="B164" s="265"/>
      <c r="C164" s="271"/>
      <c r="D164" s="271"/>
      <c r="E164" s="56" t="s">
        <v>160</v>
      </c>
      <c r="F164" s="56" t="s">
        <v>161</v>
      </c>
    </row>
    <row r="165" spans="1:6">
      <c r="B165" s="27">
        <v>41518</v>
      </c>
      <c r="C165" s="57"/>
      <c r="D165" s="58" t="s">
        <v>162</v>
      </c>
      <c r="E165" s="59"/>
      <c r="F165" s="74">
        <f>+'[1]MAY AGOSTO'!$F$164</f>
        <v>113991</v>
      </c>
    </row>
    <row r="166" spans="1:6" ht="13.5" thickBot="1">
      <c r="B166" s="64"/>
      <c r="C166" s="65"/>
      <c r="D166" s="66"/>
      <c r="E166" s="63"/>
      <c r="F166" s="63"/>
    </row>
    <row r="167" spans="1:6" ht="13.5" thickBot="1">
      <c r="B167" s="55"/>
      <c r="C167" s="55"/>
      <c r="D167" s="67" t="s">
        <v>181</v>
      </c>
      <c r="E167" s="68">
        <f>SUM(E165:E166)</f>
        <v>0</v>
      </c>
      <c r="F167" s="68">
        <f>SUM(F165:F166)</f>
        <v>113991</v>
      </c>
    </row>
    <row r="169" spans="1:6">
      <c r="B169" s="51" t="s">
        <v>176</v>
      </c>
      <c r="C169" s="51"/>
      <c r="D169" s="51"/>
      <c r="E169" s="23"/>
      <c r="F169" s="23"/>
    </row>
    <row r="170" spans="1:6">
      <c r="A170" s="79"/>
      <c r="B170" s="22" t="s">
        <v>319</v>
      </c>
      <c r="C170" s="51"/>
      <c r="D170" s="51"/>
      <c r="E170" s="52"/>
      <c r="F170" s="52"/>
    </row>
    <row r="171" spans="1:6">
      <c r="B171" s="22" t="s">
        <v>154</v>
      </c>
      <c r="C171" s="51"/>
      <c r="D171" s="51"/>
      <c r="E171" s="52"/>
      <c r="F171" s="52"/>
    </row>
    <row r="172" spans="1:6">
      <c r="B172" s="22" t="s">
        <v>155</v>
      </c>
      <c r="C172" s="51"/>
      <c r="D172" s="51"/>
      <c r="E172" s="53"/>
      <c r="F172" s="53"/>
    </row>
    <row r="173" spans="1:6">
      <c r="B173" s="51" t="s">
        <v>194</v>
      </c>
      <c r="C173" s="51"/>
      <c r="D173" s="51"/>
      <c r="E173" s="54"/>
      <c r="F173" s="53"/>
    </row>
    <row r="174" spans="1:6" ht="13.5" thickBot="1">
      <c r="B174" s="51"/>
      <c r="C174" s="51"/>
      <c r="D174" s="51"/>
      <c r="E174" s="55"/>
      <c r="F174" s="55"/>
    </row>
    <row r="175" spans="1:6" ht="13.5" thickBot="1">
      <c r="B175" s="264" t="s">
        <v>166</v>
      </c>
      <c r="C175" s="264" t="s">
        <v>178</v>
      </c>
      <c r="D175" s="264" t="s">
        <v>179</v>
      </c>
      <c r="E175" s="272" t="s">
        <v>159</v>
      </c>
      <c r="F175" s="273"/>
    </row>
    <row r="176" spans="1:6" ht="13.5" thickBot="1">
      <c r="B176" s="265"/>
      <c r="C176" s="271"/>
      <c r="D176" s="271"/>
      <c r="E176" s="56" t="s">
        <v>160</v>
      </c>
      <c r="F176" s="56" t="s">
        <v>161</v>
      </c>
    </row>
    <row r="177" spans="2:8">
      <c r="B177" s="27">
        <v>41518</v>
      </c>
      <c r="C177" s="57"/>
      <c r="D177" s="58" t="s">
        <v>162</v>
      </c>
      <c r="E177" s="59">
        <f>+'[1]MAY AGOSTO'!$E$178</f>
        <v>586945.23929350008</v>
      </c>
      <c r="F177" s="59">
        <f>+'[1]MAY AGOSTO'!$F$178</f>
        <v>622708.47000000009</v>
      </c>
    </row>
    <row r="178" spans="2:8">
      <c r="B178" s="60">
        <v>41547</v>
      </c>
      <c r="C178" s="36"/>
      <c r="D178" s="36" t="s">
        <v>183</v>
      </c>
      <c r="E178" s="62"/>
      <c r="F178" s="62">
        <f>+DIARIO!H11</f>
        <v>17591.03</v>
      </c>
    </row>
    <row r="179" spans="2:8">
      <c r="B179" s="60">
        <v>41547</v>
      </c>
      <c r="C179" s="36"/>
      <c r="D179" s="36" t="s">
        <v>279</v>
      </c>
      <c r="E179" s="62">
        <f>+DIARIO!G35</f>
        <v>31148.97</v>
      </c>
      <c r="F179" s="62"/>
    </row>
    <row r="180" spans="2:8">
      <c r="B180" s="60">
        <v>41547</v>
      </c>
      <c r="C180" s="71"/>
      <c r="D180" s="71" t="s">
        <v>365</v>
      </c>
      <c r="E180" s="62">
        <f>+DIARIO!G21</f>
        <v>2687.0699999999997</v>
      </c>
      <c r="F180" s="62"/>
    </row>
    <row r="181" spans="2:8" ht="13.5" thickBot="1">
      <c r="B181" s="64"/>
      <c r="C181" s="65"/>
      <c r="D181" s="188"/>
      <c r="E181" s="87"/>
      <c r="F181" s="87"/>
    </row>
    <row r="182" spans="2:8" ht="13.5" thickBot="1">
      <c r="B182" s="55"/>
      <c r="C182" s="55"/>
      <c r="D182" s="67" t="s">
        <v>181</v>
      </c>
      <c r="E182" s="68">
        <f>SUM(E177:E181)</f>
        <v>620781.2792935</v>
      </c>
      <c r="F182" s="68">
        <f>SUM(F177:F181)</f>
        <v>640299.50000000012</v>
      </c>
      <c r="H182" s="80"/>
    </row>
    <row r="184" spans="2:8">
      <c r="B184" s="51" t="s">
        <v>176</v>
      </c>
      <c r="C184" s="51"/>
      <c r="D184" s="51"/>
      <c r="E184" s="23"/>
      <c r="F184" s="23"/>
    </row>
    <row r="185" spans="2:8">
      <c r="B185" s="22" t="s">
        <v>319</v>
      </c>
      <c r="C185" s="51"/>
      <c r="D185" s="51"/>
      <c r="E185" s="52"/>
      <c r="F185" s="52"/>
    </row>
    <row r="186" spans="2:8">
      <c r="B186" s="22" t="s">
        <v>154</v>
      </c>
      <c r="C186" s="51"/>
      <c r="D186" s="51"/>
      <c r="E186" s="52"/>
      <c r="F186" s="52"/>
    </row>
    <row r="187" spans="2:8">
      <c r="B187" s="22" t="s">
        <v>155</v>
      </c>
      <c r="C187" s="51"/>
      <c r="D187" s="51"/>
      <c r="E187" s="53"/>
      <c r="F187" s="53"/>
    </row>
    <row r="188" spans="2:8">
      <c r="B188" s="51" t="s">
        <v>195</v>
      </c>
      <c r="C188" s="51"/>
      <c r="D188" s="51"/>
      <c r="E188" s="54"/>
      <c r="F188" s="53"/>
    </row>
    <row r="189" spans="2:8" ht="13.5" thickBot="1">
      <c r="B189" s="51"/>
      <c r="C189" s="51"/>
      <c r="D189" s="51"/>
      <c r="E189" s="55"/>
      <c r="F189" s="55"/>
    </row>
    <row r="190" spans="2:8" ht="13.5" thickBot="1">
      <c r="B190" s="264" t="s">
        <v>166</v>
      </c>
      <c r="C190" s="264" t="s">
        <v>178</v>
      </c>
      <c r="D190" s="264" t="s">
        <v>179</v>
      </c>
      <c r="E190" s="272" t="s">
        <v>159</v>
      </c>
      <c r="F190" s="273"/>
    </row>
    <row r="191" spans="2:8" ht="13.5" thickBot="1">
      <c r="B191" s="265"/>
      <c r="C191" s="271"/>
      <c r="D191" s="271"/>
      <c r="E191" s="56" t="s">
        <v>160</v>
      </c>
      <c r="F191" s="56" t="s">
        <v>161</v>
      </c>
    </row>
    <row r="192" spans="2:8">
      <c r="B192" s="27">
        <v>41518</v>
      </c>
      <c r="C192" s="57"/>
      <c r="D192" s="58" t="s">
        <v>162</v>
      </c>
      <c r="E192" s="59">
        <f>+'[1]MAY AGOSTO'!$E$190</f>
        <v>12494</v>
      </c>
      <c r="F192" s="59">
        <f>+'[1]MAY AGOSTO'!$F$190</f>
        <v>11748</v>
      </c>
    </row>
    <row r="193" spans="2:9">
      <c r="B193" s="60">
        <v>41547</v>
      </c>
      <c r="C193" s="36"/>
      <c r="D193" s="36" t="s">
        <v>279</v>
      </c>
      <c r="E193" s="16">
        <f>+DIARIO!G36</f>
        <v>5218.55</v>
      </c>
      <c r="F193" s="46"/>
    </row>
    <row r="194" spans="2:9" ht="13.5" thickBot="1">
      <c r="B194" s="64"/>
      <c r="C194" s="65"/>
      <c r="D194" s="188"/>
      <c r="E194" s="63"/>
      <c r="F194" s="63"/>
    </row>
    <row r="195" spans="2:9" ht="13.5" thickBot="1">
      <c r="B195" s="55"/>
      <c r="C195" s="55"/>
      <c r="D195" s="67" t="s">
        <v>181</v>
      </c>
      <c r="E195" s="68">
        <f>SUM(E192:E194)</f>
        <v>17712.55</v>
      </c>
      <c r="F195" s="68">
        <f>SUM(F192:F194)</f>
        <v>11748</v>
      </c>
      <c r="I195">
        <v>5352</v>
      </c>
    </row>
    <row r="196" spans="2:9">
      <c r="I196">
        <v>1411</v>
      </c>
    </row>
    <row r="197" spans="2:9">
      <c r="B197" s="51" t="s">
        <v>176</v>
      </c>
      <c r="C197" s="51"/>
      <c r="D197" s="51"/>
      <c r="E197" s="23"/>
      <c r="F197" s="23"/>
    </row>
    <row r="198" spans="2:9">
      <c r="B198" s="22" t="s">
        <v>319</v>
      </c>
      <c r="C198" s="51"/>
      <c r="D198" s="51"/>
      <c r="E198" s="52"/>
      <c r="F198" s="52"/>
    </row>
    <row r="199" spans="2:9">
      <c r="B199" s="22" t="s">
        <v>154</v>
      </c>
      <c r="C199" s="51"/>
      <c r="D199" s="51"/>
      <c r="E199" s="52"/>
      <c r="F199" s="52"/>
    </row>
    <row r="200" spans="2:9">
      <c r="B200" s="22" t="s">
        <v>155</v>
      </c>
      <c r="C200" s="51"/>
      <c r="D200" s="51"/>
      <c r="E200" s="53"/>
      <c r="F200" s="53"/>
    </row>
    <row r="201" spans="2:9">
      <c r="B201" s="51" t="s">
        <v>196</v>
      </c>
      <c r="C201" s="51"/>
      <c r="D201" s="51"/>
      <c r="E201" s="54"/>
      <c r="F201" s="53"/>
    </row>
    <row r="202" spans="2:9" ht="13.5" thickBot="1">
      <c r="B202" s="51"/>
      <c r="C202" s="51"/>
      <c r="D202" s="51"/>
      <c r="E202" s="55"/>
      <c r="F202" s="55"/>
    </row>
    <row r="203" spans="2:9" ht="13.5" thickBot="1">
      <c r="B203" s="264" t="s">
        <v>166</v>
      </c>
      <c r="C203" s="264" t="s">
        <v>178</v>
      </c>
      <c r="D203" s="264" t="s">
        <v>179</v>
      </c>
      <c r="E203" s="272" t="s">
        <v>159</v>
      </c>
      <c r="F203" s="273"/>
    </row>
    <row r="204" spans="2:9" ht="13.5" thickBot="1">
      <c r="B204" s="265"/>
      <c r="C204" s="271"/>
      <c r="D204" s="271"/>
      <c r="E204" s="56" t="s">
        <v>160</v>
      </c>
      <c r="F204" s="56" t="s">
        <v>161</v>
      </c>
    </row>
    <row r="205" spans="2:9">
      <c r="B205" s="27">
        <v>41518</v>
      </c>
      <c r="C205" s="57"/>
      <c r="D205" s="58" t="s">
        <v>162</v>
      </c>
      <c r="E205" s="59">
        <f>+'[1]MAY AGOSTO'!$E$202</f>
        <v>112881.13</v>
      </c>
      <c r="F205" s="59">
        <f>+'[1]MAY AGOSTO'!$F$202</f>
        <v>50040.04</v>
      </c>
    </row>
    <row r="206" spans="2:9">
      <c r="B206" s="60">
        <v>41547</v>
      </c>
      <c r="C206" s="36"/>
      <c r="D206" s="36" t="s">
        <v>349</v>
      </c>
      <c r="E206" s="16">
        <f>+DIARIO!G17</f>
        <v>30379.599999999999</v>
      </c>
      <c r="F206" s="46"/>
    </row>
    <row r="207" spans="2:9">
      <c r="B207" s="60">
        <v>41547</v>
      </c>
      <c r="C207" s="71"/>
      <c r="D207" s="36" t="s">
        <v>364</v>
      </c>
      <c r="E207" s="16"/>
      <c r="F207" s="16">
        <f>+DIARIO!H20</f>
        <v>7425</v>
      </c>
    </row>
    <row r="208" spans="2:9">
      <c r="B208" s="60">
        <v>41547</v>
      </c>
      <c r="C208" s="71"/>
      <c r="D208" s="71" t="s">
        <v>365</v>
      </c>
      <c r="E208" s="16"/>
      <c r="F208" s="263">
        <f>+DIARIO!H22</f>
        <v>2687.0699999999997</v>
      </c>
    </row>
    <row r="209" spans="2:6" ht="13.5" thickBot="1">
      <c r="B209" s="58"/>
      <c r="C209" s="191"/>
      <c r="D209" s="188"/>
      <c r="E209" s="87"/>
      <c r="F209" s="63"/>
    </row>
    <row r="210" spans="2:6" ht="13.5" thickBot="1">
      <c r="B210" s="55"/>
      <c r="C210" s="55"/>
      <c r="D210" s="67" t="s">
        <v>181</v>
      </c>
      <c r="E210" s="68">
        <f>SUM(E205:E209)</f>
        <v>143260.73000000001</v>
      </c>
      <c r="F210" s="68">
        <f>SUM(F205:F209)</f>
        <v>60152.11</v>
      </c>
    </row>
    <row r="212" spans="2:6">
      <c r="B212" s="51" t="s">
        <v>176</v>
      </c>
      <c r="C212" s="51"/>
      <c r="D212" s="51"/>
      <c r="E212" s="23"/>
      <c r="F212" s="23"/>
    </row>
    <row r="213" spans="2:6">
      <c r="B213" s="22" t="s">
        <v>319</v>
      </c>
      <c r="C213" s="51"/>
      <c r="D213" s="51"/>
      <c r="E213" s="52"/>
      <c r="F213" s="52"/>
    </row>
    <row r="214" spans="2:6">
      <c r="B214" s="22" t="s">
        <v>154</v>
      </c>
      <c r="C214" s="51"/>
      <c r="D214" s="51"/>
      <c r="E214" s="52"/>
      <c r="F214" s="52"/>
    </row>
    <row r="215" spans="2:6">
      <c r="B215" s="22" t="s">
        <v>155</v>
      </c>
      <c r="C215" s="51"/>
      <c r="D215" s="51"/>
      <c r="E215" s="53"/>
      <c r="F215" s="53"/>
    </row>
    <row r="216" spans="2:6">
      <c r="B216" s="51" t="s">
        <v>197</v>
      </c>
      <c r="C216" s="51"/>
      <c r="D216" s="51"/>
      <c r="E216" s="54"/>
      <c r="F216" s="53"/>
    </row>
    <row r="217" spans="2:6" ht="13.5" thickBot="1">
      <c r="B217" s="51"/>
      <c r="C217" s="51"/>
      <c r="D217" s="51"/>
      <c r="E217" s="55"/>
      <c r="F217" s="55"/>
    </row>
    <row r="218" spans="2:6" ht="13.5" thickBot="1">
      <c r="B218" s="264" t="s">
        <v>166</v>
      </c>
      <c r="C218" s="264" t="s">
        <v>178</v>
      </c>
      <c r="D218" s="264" t="s">
        <v>179</v>
      </c>
      <c r="E218" s="272" t="s">
        <v>159</v>
      </c>
      <c r="F218" s="273"/>
    </row>
    <row r="219" spans="2:6" ht="13.5" thickBot="1">
      <c r="B219" s="265"/>
      <c r="C219" s="271"/>
      <c r="D219" s="271"/>
      <c r="E219" s="56" t="s">
        <v>160</v>
      </c>
      <c r="F219" s="56" t="s">
        <v>161</v>
      </c>
    </row>
    <row r="220" spans="2:6">
      <c r="B220" s="27">
        <v>41518</v>
      </c>
      <c r="C220" s="57"/>
      <c r="D220" s="58" t="s">
        <v>162</v>
      </c>
      <c r="E220" s="59">
        <f>+'[1]MAY AGOSTO'!$E$215</f>
        <v>56564</v>
      </c>
      <c r="F220" s="74"/>
    </row>
    <row r="221" spans="2:6">
      <c r="B221" s="60">
        <v>41547</v>
      </c>
      <c r="C221" s="36"/>
      <c r="D221" s="167" t="s">
        <v>291</v>
      </c>
      <c r="E221" s="62">
        <f>+DIARIO!G51</f>
        <v>499</v>
      </c>
      <c r="F221" s="62"/>
    </row>
    <row r="222" spans="2:6">
      <c r="B222" s="60">
        <v>41547</v>
      </c>
      <c r="C222" s="36"/>
      <c r="D222" s="36" t="s">
        <v>364</v>
      </c>
      <c r="E222" s="62">
        <f>+DIARIO!G19</f>
        <v>7425</v>
      </c>
      <c r="F222" s="62"/>
    </row>
    <row r="223" spans="2:6" ht="13.5" thickBot="1">
      <c r="B223" s="64"/>
      <c r="C223" s="65"/>
      <c r="D223" s="188"/>
      <c r="E223" s="87"/>
      <c r="F223" s="87"/>
    </row>
    <row r="224" spans="2:6" ht="13.5" thickBot="1">
      <c r="B224" s="55"/>
      <c r="C224" s="55"/>
      <c r="D224" s="67" t="s">
        <v>181</v>
      </c>
      <c r="E224" s="68">
        <f>SUM(E220:E223)</f>
        <v>64488</v>
      </c>
      <c r="F224" s="68">
        <f>SUM(F220:F223)</f>
        <v>0</v>
      </c>
    </row>
    <row r="226" spans="1:6">
      <c r="B226" s="51" t="s">
        <v>176</v>
      </c>
      <c r="C226" s="51"/>
      <c r="D226" s="51"/>
      <c r="E226" s="23"/>
      <c r="F226" s="23"/>
    </row>
    <row r="227" spans="1:6">
      <c r="A227" s="79"/>
      <c r="B227" s="22" t="s">
        <v>319</v>
      </c>
      <c r="C227" s="51"/>
      <c r="D227" s="51"/>
      <c r="E227" s="52"/>
      <c r="F227" s="52"/>
    </row>
    <row r="228" spans="1:6">
      <c r="B228" s="22" t="s">
        <v>154</v>
      </c>
      <c r="C228" s="51"/>
      <c r="D228" s="51"/>
      <c r="E228" s="52"/>
      <c r="F228" s="52"/>
    </row>
    <row r="229" spans="1:6">
      <c r="B229" s="22" t="s">
        <v>155</v>
      </c>
      <c r="C229" s="51"/>
      <c r="D229" s="51"/>
      <c r="E229" s="53"/>
      <c r="F229" s="53"/>
    </row>
    <row r="230" spans="1:6">
      <c r="B230" s="51" t="s">
        <v>198</v>
      </c>
      <c r="C230" s="51"/>
      <c r="D230" s="51"/>
      <c r="E230" s="54"/>
      <c r="F230" s="53"/>
    </row>
    <row r="231" spans="1:6" ht="13.5" thickBot="1">
      <c r="B231" s="51"/>
      <c r="C231" s="51"/>
      <c r="D231" s="51"/>
      <c r="E231" s="55"/>
      <c r="F231" s="55"/>
    </row>
    <row r="232" spans="1:6" ht="13.5" thickBot="1">
      <c r="B232" s="264" t="s">
        <v>166</v>
      </c>
      <c r="C232" s="264" t="s">
        <v>178</v>
      </c>
      <c r="D232" s="264" t="s">
        <v>179</v>
      </c>
      <c r="E232" s="272" t="s">
        <v>159</v>
      </c>
      <c r="F232" s="273"/>
    </row>
    <row r="233" spans="1:6" ht="13.5" thickBot="1">
      <c r="B233" s="265"/>
      <c r="C233" s="271"/>
      <c r="D233" s="271"/>
      <c r="E233" s="56" t="s">
        <v>160</v>
      </c>
      <c r="F233" s="56" t="s">
        <v>161</v>
      </c>
    </row>
    <row r="234" spans="1:6">
      <c r="B234" s="27">
        <v>41518</v>
      </c>
      <c r="C234" s="57"/>
      <c r="D234" s="58" t="s">
        <v>162</v>
      </c>
      <c r="E234" s="59">
        <f>+'[1]MAY AGOSTO'!$E$228</f>
        <v>3938</v>
      </c>
      <c r="F234" s="59">
        <f>+'[1]MAY AGOSTO'!$F$228</f>
        <v>4765.7925000000005</v>
      </c>
    </row>
    <row r="235" spans="1:6">
      <c r="B235" s="60">
        <v>41547</v>
      </c>
      <c r="C235" s="36"/>
      <c r="D235" s="167" t="s">
        <v>358</v>
      </c>
      <c r="E235" s="85"/>
      <c r="F235" s="62">
        <f>+DIARIO!H44</f>
        <v>326.25</v>
      </c>
    </row>
    <row r="236" spans="1:6" ht="13.5" thickBot="1">
      <c r="B236" s="64"/>
      <c r="C236" s="65"/>
      <c r="D236" s="188"/>
      <c r="E236" s="87"/>
      <c r="F236" s="87"/>
    </row>
    <row r="237" spans="1:6" ht="13.5" thickBot="1">
      <c r="B237" s="55"/>
      <c r="C237" s="55"/>
      <c r="D237" s="67" t="s">
        <v>181</v>
      </c>
      <c r="E237" s="68">
        <f>SUM(E234:E236)</f>
        <v>3938</v>
      </c>
      <c r="F237" s="68">
        <f>SUM(F234:F236)</f>
        <v>5092.0425000000005</v>
      </c>
    </row>
    <row r="239" spans="1:6">
      <c r="B239" s="51" t="s">
        <v>176</v>
      </c>
      <c r="C239" s="51"/>
      <c r="D239" s="51"/>
      <c r="E239" s="23"/>
      <c r="F239" s="23"/>
    </row>
    <row r="240" spans="1:6">
      <c r="B240" s="22" t="s">
        <v>319</v>
      </c>
      <c r="C240" s="51"/>
      <c r="D240" s="51"/>
      <c r="E240" s="52"/>
      <c r="F240" s="52"/>
    </row>
    <row r="241" spans="2:6">
      <c r="B241" s="22" t="s">
        <v>154</v>
      </c>
      <c r="C241" s="51"/>
      <c r="D241" s="51"/>
      <c r="E241" s="52"/>
      <c r="F241" s="52"/>
    </row>
    <row r="242" spans="2:6">
      <c r="B242" s="22" t="s">
        <v>155</v>
      </c>
      <c r="C242" s="51"/>
      <c r="D242" s="51"/>
      <c r="E242" s="53"/>
      <c r="F242" s="53"/>
    </row>
    <row r="243" spans="2:6">
      <c r="B243" s="51" t="s">
        <v>199</v>
      </c>
      <c r="C243" s="51"/>
      <c r="D243" s="51"/>
      <c r="E243" s="54"/>
      <c r="F243" s="53"/>
    </row>
    <row r="244" spans="2:6" ht="13.5" thickBot="1">
      <c r="B244" s="51"/>
      <c r="C244" s="51"/>
      <c r="D244" s="51"/>
      <c r="E244" s="55"/>
      <c r="F244" s="55"/>
    </row>
    <row r="245" spans="2:6" ht="13.5" thickBot="1">
      <c r="B245" s="264" t="s">
        <v>166</v>
      </c>
      <c r="C245" s="264" t="s">
        <v>178</v>
      </c>
      <c r="D245" s="264" t="s">
        <v>179</v>
      </c>
      <c r="E245" s="272" t="s">
        <v>159</v>
      </c>
      <c r="F245" s="273"/>
    </row>
    <row r="246" spans="2:6" ht="13.5" thickBot="1">
      <c r="B246" s="265"/>
      <c r="C246" s="271"/>
      <c r="D246" s="271"/>
      <c r="E246" s="56" t="s">
        <v>160</v>
      </c>
      <c r="F246" s="56" t="s">
        <v>161</v>
      </c>
    </row>
    <row r="247" spans="2:6">
      <c r="B247" s="27">
        <v>41518</v>
      </c>
      <c r="C247" s="26"/>
      <c r="D247" s="58" t="s">
        <v>162</v>
      </c>
      <c r="E247" s="59">
        <f>+'[1]MAY AGOSTO'!$E$241</f>
        <v>3719</v>
      </c>
      <c r="F247" s="59"/>
    </row>
    <row r="248" spans="2:6">
      <c r="B248" s="60">
        <v>41547</v>
      </c>
      <c r="C248" s="26"/>
      <c r="D248" s="167" t="s">
        <v>291</v>
      </c>
      <c r="E248" s="77">
        <f>+DIARIO!G53</f>
        <v>650</v>
      </c>
      <c r="F248" s="77"/>
    </row>
    <row r="249" spans="2:6" ht="13.5" thickBot="1">
      <c r="B249" s="64"/>
      <c r="C249" s="65"/>
      <c r="D249" s="66"/>
      <c r="E249" s="63"/>
      <c r="F249" s="63"/>
    </row>
    <row r="250" spans="2:6" ht="13.5" thickBot="1">
      <c r="B250" s="55"/>
      <c r="C250" s="55"/>
      <c r="D250" s="67" t="s">
        <v>181</v>
      </c>
      <c r="E250" s="68">
        <f>SUM(E247:E249)</f>
        <v>4369</v>
      </c>
      <c r="F250" s="68">
        <f>SUM(F247:F249)</f>
        <v>0</v>
      </c>
    </row>
    <row r="251" spans="2:6">
      <c r="B251" s="55"/>
      <c r="C251" s="55"/>
      <c r="D251" s="67"/>
      <c r="E251" s="83"/>
      <c r="F251" s="83"/>
    </row>
    <row r="252" spans="2:6">
      <c r="B252" s="51" t="s">
        <v>176</v>
      </c>
      <c r="C252" s="51"/>
      <c r="D252" s="51"/>
      <c r="E252" s="23"/>
      <c r="F252" s="23"/>
    </row>
    <row r="253" spans="2:6">
      <c r="B253" s="22" t="s">
        <v>319</v>
      </c>
      <c r="C253" s="51"/>
      <c r="D253" s="51"/>
      <c r="E253" s="52"/>
      <c r="F253" s="52"/>
    </row>
    <row r="254" spans="2:6">
      <c r="B254" s="22" t="s">
        <v>154</v>
      </c>
      <c r="C254" s="51"/>
      <c r="D254" s="51"/>
      <c r="E254" s="52"/>
      <c r="F254" s="52"/>
    </row>
    <row r="255" spans="2:6">
      <c r="B255" s="22" t="s">
        <v>155</v>
      </c>
      <c r="C255" s="51"/>
      <c r="D255" s="51"/>
      <c r="E255" s="53"/>
      <c r="F255" s="53"/>
    </row>
    <row r="256" spans="2:6">
      <c r="B256" s="51" t="s">
        <v>200</v>
      </c>
      <c r="C256" s="51"/>
      <c r="D256" s="51"/>
      <c r="E256" s="54"/>
      <c r="F256" s="53"/>
    </row>
    <row r="257" spans="2:6" ht="13.5" thickBot="1">
      <c r="B257" s="51"/>
      <c r="C257" s="51"/>
      <c r="D257" s="51"/>
      <c r="E257" s="55"/>
      <c r="F257" s="55"/>
    </row>
    <row r="258" spans="2:6" ht="13.5" thickBot="1">
      <c r="B258" s="264" t="s">
        <v>166</v>
      </c>
      <c r="C258" s="264" t="s">
        <v>178</v>
      </c>
      <c r="D258" s="264" t="s">
        <v>179</v>
      </c>
      <c r="E258" s="272" t="s">
        <v>159</v>
      </c>
      <c r="F258" s="273"/>
    </row>
    <row r="259" spans="2:6" ht="13.5" thickBot="1">
      <c r="B259" s="265"/>
      <c r="C259" s="271"/>
      <c r="D259" s="271"/>
      <c r="E259" s="56" t="s">
        <v>160</v>
      </c>
      <c r="F259" s="56" t="s">
        <v>161</v>
      </c>
    </row>
    <row r="260" spans="2:6">
      <c r="B260" s="27">
        <v>41518</v>
      </c>
      <c r="C260" s="57"/>
      <c r="D260" s="58" t="s">
        <v>162</v>
      </c>
      <c r="E260" s="59">
        <f>+'[1]MAY AGOSTO'!$E$255</f>
        <v>13255</v>
      </c>
      <c r="F260" s="59">
        <f>+'[1]MAY AGOSTO'!$F$255</f>
        <v>14319.750567500007</v>
      </c>
    </row>
    <row r="261" spans="2:6">
      <c r="B261" s="60">
        <v>41547</v>
      </c>
      <c r="C261" s="36"/>
      <c r="D261" s="167" t="s">
        <v>265</v>
      </c>
      <c r="E261" s="62"/>
      <c r="F261" s="62">
        <f>+DIARIO!H45</f>
        <v>1057.51</v>
      </c>
    </row>
    <row r="262" spans="2:6">
      <c r="B262" s="60">
        <v>41547</v>
      </c>
      <c r="C262" s="36"/>
      <c r="D262" s="167" t="s">
        <v>291</v>
      </c>
      <c r="E262" s="85">
        <f>+DIARIO!G54</f>
        <v>1193</v>
      </c>
      <c r="F262" s="62"/>
    </row>
    <row r="263" spans="2:6" ht="13.5" thickBot="1">
      <c r="B263" s="64"/>
      <c r="C263" s="65"/>
      <c r="D263" s="188"/>
      <c r="E263" s="87"/>
      <c r="F263" s="87"/>
    </row>
    <row r="264" spans="2:6" ht="13.5" thickBot="1">
      <c r="B264" s="55"/>
      <c r="C264" s="55"/>
      <c r="D264" s="67" t="s">
        <v>181</v>
      </c>
      <c r="E264" s="68">
        <f>SUM(E260:E263)</f>
        <v>14448</v>
      </c>
      <c r="F264" s="68">
        <f>SUM(F260:F263)</f>
        <v>15377.260567500007</v>
      </c>
    </row>
    <row r="266" spans="2:6">
      <c r="B266" s="51" t="s">
        <v>176</v>
      </c>
      <c r="C266" s="51"/>
      <c r="D266" s="51"/>
      <c r="E266" s="23"/>
      <c r="F266" s="23"/>
    </row>
    <row r="267" spans="2:6">
      <c r="B267" s="22" t="s">
        <v>319</v>
      </c>
      <c r="C267" s="51"/>
      <c r="D267" s="51"/>
      <c r="E267" s="52"/>
      <c r="F267" s="52"/>
    </row>
    <row r="268" spans="2:6">
      <c r="B268" s="22" t="s">
        <v>154</v>
      </c>
      <c r="C268" s="51"/>
      <c r="D268" s="51"/>
      <c r="E268" s="52"/>
      <c r="F268" s="52"/>
    </row>
    <row r="269" spans="2:6">
      <c r="B269" s="22" t="s">
        <v>155</v>
      </c>
      <c r="C269" s="51"/>
      <c r="D269" s="51"/>
      <c r="E269" s="53"/>
      <c r="F269" s="53"/>
    </row>
    <row r="270" spans="2:6">
      <c r="B270" s="51" t="s">
        <v>201</v>
      </c>
      <c r="C270" s="51"/>
      <c r="D270" s="51"/>
      <c r="E270" s="54"/>
      <c r="F270" s="53"/>
    </row>
    <row r="271" spans="2:6" ht="13.5" thickBot="1">
      <c r="B271" s="51"/>
      <c r="C271" s="51"/>
      <c r="D271" s="51"/>
      <c r="E271" s="55"/>
      <c r="F271" s="55"/>
    </row>
    <row r="272" spans="2:6" ht="13.5" thickBot="1">
      <c r="B272" s="264" t="s">
        <v>166</v>
      </c>
      <c r="C272" s="264" t="s">
        <v>178</v>
      </c>
      <c r="D272" s="264" t="s">
        <v>179</v>
      </c>
      <c r="E272" s="272" t="s">
        <v>159</v>
      </c>
      <c r="F272" s="273"/>
    </row>
    <row r="273" spans="2:6" ht="13.5" thickBot="1">
      <c r="B273" s="265"/>
      <c r="C273" s="271"/>
      <c r="D273" s="271"/>
      <c r="E273" s="56" t="s">
        <v>160</v>
      </c>
      <c r="F273" s="56" t="s">
        <v>161</v>
      </c>
    </row>
    <row r="274" spans="2:6">
      <c r="B274" s="27">
        <v>41518</v>
      </c>
      <c r="C274" s="57"/>
      <c r="D274" s="58" t="s">
        <v>162</v>
      </c>
      <c r="E274" s="59">
        <f>+'[1]MAY AGOSTO'!$E$269</f>
        <v>4992</v>
      </c>
      <c r="F274" s="59">
        <f>+'[1]MAY AGOSTO'!$F$269</f>
        <v>5581.7149419444422</v>
      </c>
    </row>
    <row r="275" spans="2:6">
      <c r="B275" s="60">
        <v>41547</v>
      </c>
      <c r="C275" s="36"/>
      <c r="D275" s="167" t="s">
        <v>265</v>
      </c>
      <c r="E275" s="62"/>
      <c r="F275" s="62">
        <f>+DIARIO!H46</f>
        <v>429</v>
      </c>
    </row>
    <row r="276" spans="2:6">
      <c r="B276" s="60">
        <v>41547</v>
      </c>
      <c r="C276" s="36"/>
      <c r="D276" s="184" t="s">
        <v>291</v>
      </c>
      <c r="E276" s="190">
        <f>+DIARIO!G55</f>
        <v>624</v>
      </c>
      <c r="F276" s="87"/>
    </row>
    <row r="277" spans="2:6" ht="13.5" thickBot="1">
      <c r="B277" s="64"/>
      <c r="C277" s="65"/>
      <c r="D277" s="66"/>
      <c r="E277" s="63"/>
      <c r="F277" s="63"/>
    </row>
    <row r="278" spans="2:6" ht="13.5" thickBot="1">
      <c r="B278" s="55"/>
      <c r="C278" s="55"/>
      <c r="D278" s="67" t="s">
        <v>181</v>
      </c>
      <c r="E278" s="68">
        <f>SUM(E274:E277)</f>
        <v>5616</v>
      </c>
      <c r="F278" s="68">
        <f>SUM(F274:F277)</f>
        <v>6010.7149419444422</v>
      </c>
    </row>
    <row r="280" spans="2:6">
      <c r="B280" s="51" t="s">
        <v>176</v>
      </c>
      <c r="C280" s="51"/>
      <c r="D280" s="51"/>
      <c r="E280" s="23"/>
      <c r="F280" s="23"/>
    </row>
    <row r="281" spans="2:6">
      <c r="B281" s="22" t="s">
        <v>319</v>
      </c>
      <c r="C281" s="51"/>
      <c r="D281" s="51"/>
      <c r="E281" s="52"/>
      <c r="F281" s="52"/>
    </row>
    <row r="282" spans="2:6">
      <c r="B282" s="22" t="s">
        <v>154</v>
      </c>
      <c r="C282" s="51"/>
      <c r="D282" s="51"/>
      <c r="E282" s="52"/>
      <c r="F282" s="52"/>
    </row>
    <row r="283" spans="2:6">
      <c r="B283" s="22" t="s">
        <v>155</v>
      </c>
      <c r="C283" s="51"/>
      <c r="D283" s="51"/>
      <c r="E283" s="53"/>
      <c r="F283" s="53"/>
    </row>
    <row r="284" spans="2:6">
      <c r="B284" s="51" t="s">
        <v>202</v>
      </c>
      <c r="C284" s="51"/>
      <c r="D284" s="51"/>
      <c r="E284" s="54"/>
      <c r="F284" s="53"/>
    </row>
    <row r="285" spans="2:6" ht="13.5" thickBot="1">
      <c r="B285" s="51"/>
      <c r="C285" s="51"/>
      <c r="D285" s="51"/>
      <c r="E285" s="55"/>
      <c r="F285" s="55"/>
    </row>
    <row r="286" spans="2:6" ht="13.5" thickBot="1">
      <c r="B286" s="264" t="s">
        <v>166</v>
      </c>
      <c r="C286" s="264" t="s">
        <v>178</v>
      </c>
      <c r="D286" s="264" t="s">
        <v>179</v>
      </c>
      <c r="E286" s="272" t="s">
        <v>159</v>
      </c>
      <c r="F286" s="273"/>
    </row>
    <row r="287" spans="2:6" ht="13.5" thickBot="1">
      <c r="B287" s="265"/>
      <c r="C287" s="271"/>
      <c r="D287" s="271"/>
      <c r="E287" s="56" t="s">
        <v>160</v>
      </c>
      <c r="F287" s="56" t="s">
        <v>161</v>
      </c>
    </row>
    <row r="288" spans="2:6">
      <c r="B288" s="27">
        <v>41518</v>
      </c>
      <c r="C288" s="57"/>
      <c r="D288" s="58" t="s">
        <v>162</v>
      </c>
      <c r="E288" s="59">
        <f>+'[1]MAY AGOSTO'!$E$283</f>
        <v>11188.42</v>
      </c>
      <c r="F288" s="59">
        <f>+'[1]MAY AGOSTO'!$F$283</f>
        <v>14208.970153000004</v>
      </c>
    </row>
    <row r="289" spans="2:6">
      <c r="B289" s="60">
        <v>41547</v>
      </c>
      <c r="C289" s="36"/>
      <c r="D289" s="167" t="s">
        <v>265</v>
      </c>
      <c r="E289" s="62"/>
      <c r="F289" s="62">
        <f>+DIARIO!H47</f>
        <v>990.97</v>
      </c>
    </row>
    <row r="290" spans="2:6">
      <c r="B290" s="60">
        <v>41547</v>
      </c>
      <c r="C290" s="36"/>
      <c r="D290" s="167" t="s">
        <v>291</v>
      </c>
      <c r="E290" s="82">
        <f>+DIARIO!G56</f>
        <v>1392.6599999999999</v>
      </c>
      <c r="F290" s="63"/>
    </row>
    <row r="291" spans="2:6" ht="13.5" thickBot="1">
      <c r="B291" s="64"/>
      <c r="C291" s="65"/>
      <c r="D291" s="66"/>
      <c r="E291" s="63"/>
      <c r="F291" s="63"/>
    </row>
    <row r="292" spans="2:6" ht="13.5" thickBot="1">
      <c r="B292" s="55"/>
      <c r="C292" s="55"/>
      <c r="D292" s="67" t="s">
        <v>181</v>
      </c>
      <c r="E292" s="68">
        <f>SUM(E288:E291)</f>
        <v>12581.08</v>
      </c>
      <c r="F292" s="68">
        <f>SUM(F288:F291)</f>
        <v>15199.940153000003</v>
      </c>
    </row>
    <row r="294" spans="2:6">
      <c r="B294" s="51" t="s">
        <v>176</v>
      </c>
      <c r="C294" s="51"/>
      <c r="D294" s="51"/>
      <c r="E294" s="23"/>
      <c r="F294" s="23"/>
    </row>
    <row r="295" spans="2:6">
      <c r="B295" s="22" t="s">
        <v>319</v>
      </c>
      <c r="C295" s="51"/>
      <c r="D295" s="51"/>
      <c r="E295" s="52"/>
      <c r="F295" s="52"/>
    </row>
    <row r="296" spans="2:6">
      <c r="B296" s="22" t="s">
        <v>154</v>
      </c>
      <c r="C296" s="51"/>
      <c r="D296" s="51"/>
      <c r="E296" s="52"/>
      <c r="F296" s="52"/>
    </row>
    <row r="297" spans="2:6">
      <c r="B297" s="22" t="s">
        <v>155</v>
      </c>
      <c r="C297" s="51"/>
      <c r="D297" s="51"/>
      <c r="E297" s="53"/>
      <c r="F297" s="53"/>
    </row>
    <row r="298" spans="2:6">
      <c r="B298" s="51" t="s">
        <v>203</v>
      </c>
      <c r="C298" s="51"/>
      <c r="D298" s="51"/>
      <c r="E298" s="54"/>
      <c r="F298" s="53"/>
    </row>
    <row r="299" spans="2:6" ht="13.5" thickBot="1">
      <c r="B299" s="51"/>
      <c r="C299" s="51"/>
      <c r="D299" s="51"/>
      <c r="E299" s="55"/>
      <c r="F299" s="55"/>
    </row>
    <row r="300" spans="2:6" ht="13.5" thickBot="1">
      <c r="B300" s="264" t="s">
        <v>166</v>
      </c>
      <c r="C300" s="264" t="s">
        <v>178</v>
      </c>
      <c r="D300" s="264" t="s">
        <v>179</v>
      </c>
      <c r="E300" s="272" t="s">
        <v>159</v>
      </c>
      <c r="F300" s="273"/>
    </row>
    <row r="301" spans="2:6" ht="13.5" thickBot="1">
      <c r="B301" s="265"/>
      <c r="C301" s="271"/>
      <c r="D301" s="271"/>
      <c r="E301" s="56" t="s">
        <v>160</v>
      </c>
      <c r="F301" s="56" t="s">
        <v>161</v>
      </c>
    </row>
    <row r="302" spans="2:6">
      <c r="B302" s="27">
        <v>41518</v>
      </c>
      <c r="C302" s="57"/>
      <c r="D302" s="58" t="s">
        <v>162</v>
      </c>
      <c r="E302" s="59">
        <f>+'[1]MAY AGOSTO'!$E$297</f>
        <v>107882.54350800002</v>
      </c>
      <c r="F302" s="59">
        <f>+'[1]MAY AGOSTO'!$F$297</f>
        <v>107882.54350800002</v>
      </c>
    </row>
    <row r="303" spans="2:6">
      <c r="B303" s="60">
        <v>41547</v>
      </c>
      <c r="C303" s="36"/>
      <c r="D303" s="167" t="s">
        <v>265</v>
      </c>
      <c r="E303" s="82"/>
      <c r="F303" s="63">
        <f>+DIARIO!H48</f>
        <v>10003.84</v>
      </c>
    </row>
    <row r="304" spans="2:6">
      <c r="B304" s="60">
        <v>41547</v>
      </c>
      <c r="C304" s="36"/>
      <c r="D304" s="167" t="s">
        <v>291</v>
      </c>
      <c r="E304" s="82">
        <f>+DIARIO!G57</f>
        <v>10003.84</v>
      </c>
      <c r="F304" s="63"/>
    </row>
    <row r="305" spans="2:6" ht="13.5" thickBot="1">
      <c r="B305" s="64"/>
      <c r="C305" s="65"/>
      <c r="D305" s="66"/>
      <c r="E305" s="63"/>
      <c r="F305" s="63"/>
    </row>
    <row r="306" spans="2:6" ht="13.5" thickBot="1">
      <c r="B306" s="55"/>
      <c r="C306" s="55"/>
      <c r="D306" s="67" t="s">
        <v>181</v>
      </c>
      <c r="E306" s="68">
        <f>SUM(E302:E305)</f>
        <v>117886.38350800001</v>
      </c>
      <c r="F306" s="68">
        <f>SUM(F302:F305)</f>
        <v>117886.38350800001</v>
      </c>
    </row>
    <row r="308" spans="2:6">
      <c r="B308" s="51" t="s">
        <v>176</v>
      </c>
      <c r="C308" s="51"/>
      <c r="D308" s="51"/>
      <c r="E308" s="23"/>
      <c r="F308" s="23"/>
    </row>
    <row r="309" spans="2:6">
      <c r="B309" s="22" t="s">
        <v>319</v>
      </c>
      <c r="C309" s="51"/>
      <c r="D309" s="51"/>
      <c r="E309" s="52"/>
      <c r="F309" s="52"/>
    </row>
    <row r="310" spans="2:6">
      <c r="B310" s="22" t="s">
        <v>154</v>
      </c>
      <c r="C310" s="51"/>
      <c r="D310" s="51"/>
      <c r="E310" s="52"/>
      <c r="F310" s="52"/>
    </row>
    <row r="311" spans="2:6">
      <c r="B311" s="22" t="s">
        <v>155</v>
      </c>
      <c r="C311" s="51"/>
      <c r="D311" s="51"/>
      <c r="E311" s="53"/>
      <c r="F311" s="53"/>
    </row>
    <row r="312" spans="2:6">
      <c r="B312" s="51" t="s">
        <v>204</v>
      </c>
      <c r="C312" s="51"/>
      <c r="D312" s="51"/>
      <c r="E312" s="54"/>
      <c r="F312" s="53"/>
    </row>
    <row r="313" spans="2:6" ht="13.5" thickBot="1">
      <c r="B313" s="51"/>
      <c r="C313" s="51"/>
      <c r="D313" s="51"/>
      <c r="E313" s="55"/>
      <c r="F313" s="55"/>
    </row>
    <row r="314" spans="2:6" ht="13.5" thickBot="1">
      <c r="B314" s="264" t="s">
        <v>166</v>
      </c>
      <c r="C314" s="264" t="s">
        <v>178</v>
      </c>
      <c r="D314" s="264" t="s">
        <v>179</v>
      </c>
      <c r="E314" s="272" t="s">
        <v>159</v>
      </c>
      <c r="F314" s="273"/>
    </row>
    <row r="315" spans="2:6" ht="13.5" thickBot="1">
      <c r="B315" s="265"/>
      <c r="C315" s="271"/>
      <c r="D315" s="271"/>
      <c r="E315" s="56" t="s">
        <v>160</v>
      </c>
      <c r="F315" s="56" t="s">
        <v>161</v>
      </c>
    </row>
    <row r="316" spans="2:6">
      <c r="B316" s="27">
        <v>41518</v>
      </c>
      <c r="C316" s="57"/>
      <c r="D316" s="58" t="s">
        <v>162</v>
      </c>
      <c r="E316" s="258">
        <f>+'[1]MAY AGOSTO'!$E$309</f>
        <v>16325.06</v>
      </c>
      <c r="F316" s="259">
        <f>+'[1]MAY AGOSTO'!$F$309</f>
        <v>16325.06</v>
      </c>
    </row>
    <row r="317" spans="2:6" ht="13.5" thickBot="1">
      <c r="B317" s="64"/>
      <c r="C317" s="65"/>
      <c r="D317" s="66"/>
      <c r="E317" s="63"/>
      <c r="F317" s="63"/>
    </row>
    <row r="318" spans="2:6" ht="13.5" thickBot="1">
      <c r="B318" s="55"/>
      <c r="C318" s="55"/>
      <c r="D318" s="67" t="s">
        <v>181</v>
      </c>
      <c r="E318" s="68">
        <f>SUM(E316:E317)</f>
        <v>16325.06</v>
      </c>
      <c r="F318" s="68">
        <f>SUM(F316:F317)</f>
        <v>16325.06</v>
      </c>
    </row>
    <row r="320" spans="2:6">
      <c r="B320" s="51" t="s">
        <v>176</v>
      </c>
      <c r="C320" s="51"/>
      <c r="D320" s="51"/>
      <c r="E320" s="23"/>
      <c r="F320" s="23"/>
    </row>
    <row r="321" spans="2:6">
      <c r="B321" s="22" t="s">
        <v>319</v>
      </c>
      <c r="C321" s="51"/>
      <c r="D321" s="51"/>
      <c r="E321" s="52"/>
      <c r="F321" s="52"/>
    </row>
    <row r="322" spans="2:6">
      <c r="B322" s="22" t="s">
        <v>154</v>
      </c>
      <c r="C322" s="51"/>
      <c r="D322" s="51"/>
      <c r="E322" s="52"/>
      <c r="F322" s="52"/>
    </row>
    <row r="323" spans="2:6">
      <c r="B323" s="22" t="s">
        <v>155</v>
      </c>
      <c r="C323" s="51"/>
      <c r="D323" s="51"/>
      <c r="E323" s="53"/>
      <c r="F323" s="53"/>
    </row>
    <row r="324" spans="2:6">
      <c r="B324" s="51" t="s">
        <v>205</v>
      </c>
      <c r="C324" s="51"/>
      <c r="D324" s="51"/>
      <c r="E324" s="54"/>
      <c r="F324" s="53"/>
    </row>
    <row r="325" spans="2:6" ht="13.5" thickBot="1">
      <c r="B325" s="51"/>
      <c r="C325" s="51"/>
      <c r="D325" s="51"/>
      <c r="E325" s="55"/>
      <c r="F325" s="55"/>
    </row>
    <row r="326" spans="2:6" ht="13.5" thickBot="1">
      <c r="B326" s="264" t="s">
        <v>166</v>
      </c>
      <c r="C326" s="264" t="s">
        <v>178</v>
      </c>
      <c r="D326" s="264" t="s">
        <v>179</v>
      </c>
      <c r="E326" s="272" t="s">
        <v>159</v>
      </c>
      <c r="F326" s="273"/>
    </row>
    <row r="327" spans="2:6" ht="13.5" thickBot="1">
      <c r="B327" s="265"/>
      <c r="C327" s="271"/>
      <c r="D327" s="271"/>
      <c r="E327" s="56" t="s">
        <v>160</v>
      </c>
      <c r="F327" s="56" t="s">
        <v>161</v>
      </c>
    </row>
    <row r="328" spans="2:6">
      <c r="B328" s="27">
        <v>41518</v>
      </c>
      <c r="C328" s="57"/>
      <c r="D328" s="58" t="s">
        <v>162</v>
      </c>
      <c r="E328" s="59">
        <f>+'[1]MAY AGOSTO'!$E$321</f>
        <v>0</v>
      </c>
      <c r="F328" s="59">
        <f>+'[1]MAY AGOSTO'!$F$321</f>
        <v>20605</v>
      </c>
    </row>
    <row r="329" spans="2:6" ht="13.5" thickBot="1">
      <c r="B329" s="64"/>
      <c r="C329" s="65"/>
      <c r="D329" s="66"/>
      <c r="E329" s="63"/>
      <c r="F329" s="63"/>
    </row>
    <row r="330" spans="2:6" ht="13.5" thickBot="1">
      <c r="B330" s="55"/>
      <c r="C330" s="55"/>
      <c r="D330" s="67" t="s">
        <v>181</v>
      </c>
      <c r="E330" s="68">
        <f>SUM(E328:E329)</f>
        <v>0</v>
      </c>
      <c r="F330" s="68">
        <f>SUM(F328:F329)</f>
        <v>20605</v>
      </c>
    </row>
    <row r="332" spans="2:6">
      <c r="B332" s="51" t="s">
        <v>176</v>
      </c>
      <c r="C332" s="51"/>
      <c r="D332" s="51"/>
      <c r="E332" s="23"/>
      <c r="F332" s="23"/>
    </row>
    <row r="333" spans="2:6">
      <c r="B333" s="22" t="s">
        <v>319</v>
      </c>
      <c r="C333" s="51"/>
      <c r="D333" s="51"/>
      <c r="E333" s="52"/>
      <c r="F333" s="52"/>
    </row>
    <row r="334" spans="2:6">
      <c r="B334" s="22" t="s">
        <v>154</v>
      </c>
      <c r="C334" s="51"/>
      <c r="D334" s="51"/>
      <c r="E334" s="52"/>
      <c r="F334" s="52"/>
    </row>
    <row r="335" spans="2:6">
      <c r="B335" s="22" t="s">
        <v>155</v>
      </c>
      <c r="C335" s="51"/>
      <c r="D335" s="51"/>
      <c r="E335" s="53"/>
      <c r="F335" s="53"/>
    </row>
    <row r="336" spans="2:6">
      <c r="B336" s="51" t="s">
        <v>206</v>
      </c>
      <c r="C336" s="51"/>
      <c r="D336" s="51"/>
      <c r="E336" s="54"/>
      <c r="F336" s="53"/>
    </row>
    <row r="337" spans="2:6" ht="13.5" thickBot="1">
      <c r="B337" s="51"/>
      <c r="C337" s="51"/>
      <c r="D337" s="51"/>
      <c r="E337" s="55"/>
      <c r="F337" s="55"/>
    </row>
    <row r="338" spans="2:6" ht="13.5" thickBot="1">
      <c r="B338" s="264" t="s">
        <v>166</v>
      </c>
      <c r="C338" s="264" t="s">
        <v>178</v>
      </c>
      <c r="D338" s="264" t="s">
        <v>179</v>
      </c>
      <c r="E338" s="272" t="s">
        <v>159</v>
      </c>
      <c r="F338" s="273"/>
    </row>
    <row r="339" spans="2:6" ht="13.5" thickBot="1">
      <c r="B339" s="265"/>
      <c r="C339" s="271"/>
      <c r="D339" s="271"/>
      <c r="E339" s="56" t="s">
        <v>160</v>
      </c>
      <c r="F339" s="56" t="s">
        <v>161</v>
      </c>
    </row>
    <row r="340" spans="2:6">
      <c r="B340" s="27">
        <v>41518</v>
      </c>
      <c r="C340" s="57"/>
      <c r="D340" s="58" t="s">
        <v>162</v>
      </c>
      <c r="E340" s="46">
        <f>+'[1]MAY AGOSTO'!$E$333</f>
        <v>16325.06</v>
      </c>
      <c r="F340" s="46">
        <f>+'[1]MAY AGOSTO'!$F$333</f>
        <v>16325.06</v>
      </c>
    </row>
    <row r="341" spans="2:6" ht="13.5" thickBot="1">
      <c r="B341" s="64"/>
      <c r="C341" s="65"/>
      <c r="D341" s="66"/>
      <c r="E341" s="63"/>
      <c r="F341" s="63"/>
    </row>
    <row r="342" spans="2:6" ht="13.5" thickBot="1">
      <c r="B342" s="55"/>
      <c r="C342" s="55"/>
      <c r="D342" s="67" t="s">
        <v>181</v>
      </c>
      <c r="E342" s="68">
        <f>SUM(E340:E341)</f>
        <v>16325.06</v>
      </c>
      <c r="F342" s="68">
        <f>SUM(F340:F341)</f>
        <v>16325.06</v>
      </c>
    </row>
    <row r="344" spans="2:6">
      <c r="B344" s="51" t="s">
        <v>176</v>
      </c>
      <c r="C344" s="51"/>
      <c r="D344" s="51"/>
      <c r="E344" s="23"/>
      <c r="F344" s="23"/>
    </row>
    <row r="345" spans="2:6">
      <c r="B345" s="22" t="s">
        <v>319</v>
      </c>
      <c r="C345" s="51"/>
      <c r="D345" s="51"/>
      <c r="E345" s="52"/>
      <c r="F345" s="52"/>
    </row>
    <row r="346" spans="2:6">
      <c r="B346" s="22" t="s">
        <v>154</v>
      </c>
      <c r="C346" s="51"/>
      <c r="D346" s="51"/>
      <c r="E346" s="52"/>
      <c r="F346" s="52"/>
    </row>
    <row r="347" spans="2:6">
      <c r="B347" s="22" t="s">
        <v>155</v>
      </c>
      <c r="C347" s="51"/>
      <c r="D347" s="51"/>
      <c r="E347" s="53"/>
      <c r="F347" s="53"/>
    </row>
    <row r="348" spans="2:6">
      <c r="B348" s="51" t="s">
        <v>207</v>
      </c>
      <c r="C348" s="51"/>
      <c r="D348" s="51"/>
      <c r="E348" s="54"/>
      <c r="F348" s="53"/>
    </row>
    <row r="349" spans="2:6" ht="13.5" thickBot="1">
      <c r="B349" s="51"/>
      <c r="C349" s="51"/>
      <c r="D349" s="51"/>
      <c r="E349" s="55"/>
      <c r="F349" s="55"/>
    </row>
    <row r="350" spans="2:6" ht="13.5" thickBot="1">
      <c r="B350" s="264" t="s">
        <v>166</v>
      </c>
      <c r="C350" s="264" t="s">
        <v>178</v>
      </c>
      <c r="D350" s="264" t="s">
        <v>179</v>
      </c>
      <c r="E350" s="272" t="s">
        <v>159</v>
      </c>
      <c r="F350" s="273"/>
    </row>
    <row r="351" spans="2:6" ht="13.5" thickBot="1">
      <c r="B351" s="265"/>
      <c r="C351" s="271"/>
      <c r="D351" s="271"/>
      <c r="E351" s="56" t="s">
        <v>160</v>
      </c>
      <c r="F351" s="56" t="s">
        <v>161</v>
      </c>
    </row>
    <row r="352" spans="2:6">
      <c r="B352" s="27">
        <v>41518</v>
      </c>
      <c r="C352" s="57"/>
      <c r="D352" s="58" t="s">
        <v>162</v>
      </c>
      <c r="E352" s="59">
        <f>+'[1]MAY AGOSTO'!$E$347</f>
        <v>3455682.76</v>
      </c>
      <c r="F352" s="59">
        <f>+'[1]MAY AGOSTO'!$F$347</f>
        <v>3747871.1453684997</v>
      </c>
    </row>
    <row r="353" spans="2:8">
      <c r="B353" s="60">
        <v>41547</v>
      </c>
      <c r="C353" s="60"/>
      <c r="D353" s="36" t="s">
        <v>279</v>
      </c>
      <c r="E353" s="16"/>
      <c r="F353" s="62">
        <f>+DIARIO!H37</f>
        <v>222098.52000000002</v>
      </c>
    </row>
    <row r="354" spans="2:8">
      <c r="B354" s="60">
        <v>41547</v>
      </c>
      <c r="C354" s="40"/>
      <c r="D354" s="167" t="s">
        <v>291</v>
      </c>
      <c r="E354" s="85">
        <f>+DIARIO!G58</f>
        <v>222098.52000000002</v>
      </c>
      <c r="F354" s="62"/>
    </row>
    <row r="355" spans="2:8" ht="13.5" thickBot="1">
      <c r="B355" s="39"/>
      <c r="C355" s="36"/>
      <c r="D355" s="71"/>
      <c r="E355" s="62"/>
      <c r="F355" s="62"/>
      <c r="H355" s="80">
        <f>+E356-F356</f>
        <v>-292188.3853684999</v>
      </c>
    </row>
    <row r="356" spans="2:8" ht="13.5" thickBot="1">
      <c r="B356" s="55"/>
      <c r="C356" s="55"/>
      <c r="D356" s="67" t="s">
        <v>181</v>
      </c>
      <c r="E356" s="68">
        <f>SUM(E352:E355)</f>
        <v>3677781.28</v>
      </c>
      <c r="F356" s="68">
        <f>SUM(F352:F355)</f>
        <v>3969969.6653684997</v>
      </c>
    </row>
    <row r="358" spans="2:8">
      <c r="B358" s="51" t="s">
        <v>176</v>
      </c>
      <c r="C358" s="51"/>
      <c r="D358" s="51"/>
      <c r="E358" s="23"/>
      <c r="F358" s="23"/>
    </row>
    <row r="359" spans="2:8">
      <c r="B359" s="22" t="s">
        <v>319</v>
      </c>
      <c r="C359" s="51"/>
      <c r="D359" s="51"/>
      <c r="E359" s="52"/>
      <c r="F359" s="52"/>
    </row>
    <row r="360" spans="2:8">
      <c r="B360" s="22" t="s">
        <v>154</v>
      </c>
      <c r="C360" s="51"/>
      <c r="D360" s="51"/>
      <c r="E360" s="52"/>
      <c r="F360" s="52"/>
    </row>
    <row r="361" spans="2:8">
      <c r="B361" s="22" t="s">
        <v>155</v>
      </c>
      <c r="C361" s="51"/>
      <c r="D361" s="51"/>
      <c r="E361" s="53"/>
      <c r="F361" s="53"/>
    </row>
    <row r="362" spans="2:8">
      <c r="B362" s="51" t="s">
        <v>208</v>
      </c>
      <c r="C362" s="51"/>
      <c r="D362" s="51"/>
      <c r="E362" s="54"/>
      <c r="F362" s="53"/>
    </row>
    <row r="363" spans="2:8" ht="13.5" thickBot="1">
      <c r="B363" s="51"/>
      <c r="C363" s="51"/>
      <c r="D363" s="51"/>
      <c r="E363" s="55"/>
      <c r="F363" s="55"/>
    </row>
    <row r="364" spans="2:8" ht="13.5" thickBot="1">
      <c r="B364" s="264" t="s">
        <v>166</v>
      </c>
      <c r="C364" s="264" t="s">
        <v>178</v>
      </c>
      <c r="D364" s="264" t="s">
        <v>179</v>
      </c>
      <c r="E364" s="272" t="s">
        <v>159</v>
      </c>
      <c r="F364" s="273"/>
    </row>
    <row r="365" spans="2:8" ht="13.5" thickBot="1">
      <c r="B365" s="265"/>
      <c r="C365" s="271"/>
      <c r="D365" s="271"/>
      <c r="E365" s="56" t="s">
        <v>160</v>
      </c>
      <c r="F365" s="56" t="s">
        <v>161</v>
      </c>
    </row>
    <row r="366" spans="2:8">
      <c r="B366" s="27">
        <v>41518</v>
      </c>
      <c r="C366" s="57"/>
      <c r="D366" s="58" t="s">
        <v>162</v>
      </c>
      <c r="E366" s="59">
        <f>+'[1]MAY AGOSTO'!$E$361</f>
        <v>835377.93874000001</v>
      </c>
      <c r="F366" s="59">
        <f>+'[1]MAY AGOSTO'!$F$361</f>
        <v>2313276.644880001</v>
      </c>
    </row>
    <row r="367" spans="2:8">
      <c r="B367" s="60">
        <v>41547</v>
      </c>
      <c r="C367" s="57"/>
      <c r="D367" s="36" t="s">
        <v>289</v>
      </c>
      <c r="E367" s="46"/>
      <c r="F367" s="16">
        <f>+DIARIO!H16</f>
        <v>66994.317989999996</v>
      </c>
    </row>
    <row r="368" spans="2:8">
      <c r="B368" s="60">
        <v>41547</v>
      </c>
      <c r="C368" s="40"/>
      <c r="D368" s="167" t="s">
        <v>291</v>
      </c>
      <c r="E368" s="16">
        <f>+DIARIO!G59</f>
        <v>69519.983419999975</v>
      </c>
      <c r="F368" s="62"/>
    </row>
    <row r="369" spans="2:6" ht="13.5" thickBot="1">
      <c r="B369" s="64"/>
      <c r="C369" s="65"/>
      <c r="D369" s="66"/>
      <c r="E369" s="63"/>
      <c r="F369" s="63"/>
    </row>
    <row r="370" spans="2:6" ht="13.5" thickBot="1">
      <c r="B370" s="55"/>
      <c r="C370" s="55"/>
      <c r="D370" s="67" t="s">
        <v>181</v>
      </c>
      <c r="E370" s="68">
        <f>SUM(E366:E369)</f>
        <v>904897.92215999996</v>
      </c>
      <c r="F370" s="68">
        <f>SUM(F366:F369)</f>
        <v>2380270.9628700009</v>
      </c>
    </row>
    <row r="372" spans="2:6">
      <c r="B372" s="51" t="s">
        <v>176</v>
      </c>
      <c r="C372" s="51"/>
      <c r="D372" s="51"/>
      <c r="E372" s="23"/>
      <c r="F372" s="23"/>
    </row>
    <row r="373" spans="2:6">
      <c r="B373" s="22" t="s">
        <v>319</v>
      </c>
      <c r="C373" s="51"/>
      <c r="D373" s="51"/>
      <c r="E373" s="52"/>
      <c r="F373" s="52"/>
    </row>
    <row r="374" spans="2:6">
      <c r="B374" s="22" t="s">
        <v>154</v>
      </c>
      <c r="C374" s="51"/>
      <c r="D374" s="51"/>
      <c r="E374" s="52"/>
      <c r="F374" s="52"/>
    </row>
    <row r="375" spans="2:6">
      <c r="B375" s="22" t="s">
        <v>155</v>
      </c>
      <c r="C375" s="51"/>
      <c r="D375" s="51"/>
      <c r="E375" s="53"/>
      <c r="F375" s="53"/>
    </row>
    <row r="376" spans="2:6">
      <c r="B376" s="51" t="s">
        <v>209</v>
      </c>
      <c r="C376" s="51"/>
      <c r="D376" s="51"/>
      <c r="E376" s="54"/>
      <c r="F376" s="53"/>
    </row>
    <row r="377" spans="2:6" ht="13.5" thickBot="1">
      <c r="B377" s="51"/>
      <c r="C377" s="51"/>
      <c r="D377" s="51"/>
      <c r="E377" s="55"/>
      <c r="F377" s="55"/>
    </row>
    <row r="378" spans="2:6" ht="13.5" thickBot="1">
      <c r="B378" s="264" t="s">
        <v>166</v>
      </c>
      <c r="C378" s="264" t="s">
        <v>178</v>
      </c>
      <c r="D378" s="264" t="s">
        <v>179</v>
      </c>
      <c r="E378" s="272" t="s">
        <v>159</v>
      </c>
      <c r="F378" s="273"/>
    </row>
    <row r="379" spans="2:6" ht="13.5" thickBot="1">
      <c r="B379" s="265"/>
      <c r="C379" s="271"/>
      <c r="D379" s="271"/>
      <c r="E379" s="56" t="s">
        <v>160</v>
      </c>
      <c r="F379" s="56" t="s">
        <v>161</v>
      </c>
    </row>
    <row r="380" spans="2:6">
      <c r="B380" s="27">
        <v>41518</v>
      </c>
      <c r="C380" s="57"/>
      <c r="D380" s="58" t="s">
        <v>162</v>
      </c>
      <c r="E380" s="59">
        <f>+'[1]MAY AGOSTO'!$E$373</f>
        <v>100000</v>
      </c>
      <c r="F380" s="74"/>
    </row>
    <row r="381" spans="2:6" ht="13.5" thickBot="1">
      <c r="B381" s="64"/>
      <c r="C381" s="65"/>
      <c r="D381" s="66"/>
      <c r="E381" s="63"/>
      <c r="F381" s="63"/>
    </row>
    <row r="382" spans="2:6" ht="13.5" thickBot="1">
      <c r="B382" s="55"/>
      <c r="C382" s="55"/>
      <c r="D382" s="67" t="s">
        <v>181</v>
      </c>
      <c r="E382" s="68">
        <f>SUM(E380:E381)</f>
        <v>100000</v>
      </c>
      <c r="F382" s="68">
        <f>SUM(F380:F381)</f>
        <v>0</v>
      </c>
    </row>
    <row r="384" spans="2:6">
      <c r="B384" s="51" t="s">
        <v>176</v>
      </c>
      <c r="C384" s="51"/>
      <c r="D384" s="51"/>
      <c r="E384" s="23"/>
      <c r="F384" s="23"/>
    </row>
    <row r="385" spans="2:6">
      <c r="B385" s="22" t="s">
        <v>319</v>
      </c>
      <c r="C385" s="51"/>
      <c r="D385" s="51"/>
      <c r="E385" s="52"/>
      <c r="F385" s="52"/>
    </row>
    <row r="386" spans="2:6">
      <c r="B386" s="22" t="s">
        <v>154</v>
      </c>
      <c r="C386" s="51"/>
      <c r="D386" s="51"/>
      <c r="E386" s="52"/>
      <c r="F386" s="52"/>
    </row>
    <row r="387" spans="2:6">
      <c r="B387" s="22" t="s">
        <v>155</v>
      </c>
      <c r="C387" s="51"/>
      <c r="D387" s="51"/>
      <c r="E387" s="53"/>
      <c r="F387" s="53"/>
    </row>
    <row r="388" spans="2:6">
      <c r="B388" s="51" t="s">
        <v>210</v>
      </c>
      <c r="C388" s="51"/>
      <c r="D388" s="51"/>
      <c r="E388" s="54"/>
      <c r="F388" s="53"/>
    </row>
    <row r="389" spans="2:6" ht="13.5" thickBot="1">
      <c r="B389" s="51"/>
      <c r="C389" s="51"/>
      <c r="D389" s="51"/>
      <c r="E389" s="55"/>
      <c r="F389" s="55"/>
    </row>
    <row r="390" spans="2:6" ht="13.5" thickBot="1">
      <c r="B390" s="264" t="s">
        <v>166</v>
      </c>
      <c r="C390" s="264" t="s">
        <v>178</v>
      </c>
      <c r="D390" s="264" t="s">
        <v>179</v>
      </c>
      <c r="E390" s="272" t="s">
        <v>159</v>
      </c>
      <c r="F390" s="273"/>
    </row>
    <row r="391" spans="2:6" ht="13.5" thickBot="1">
      <c r="B391" s="265"/>
      <c r="C391" s="271"/>
      <c r="D391" s="271"/>
      <c r="E391" s="56" t="s">
        <v>160</v>
      </c>
      <c r="F391" s="56" t="s">
        <v>161</v>
      </c>
    </row>
    <row r="392" spans="2:6">
      <c r="B392" s="27">
        <v>41518</v>
      </c>
      <c r="C392" s="57"/>
      <c r="D392" s="58" t="s">
        <v>162</v>
      </c>
      <c r="E392" s="59"/>
      <c r="F392" s="59">
        <f>+'[1]MAY AGOSTO'!$F$385</f>
        <v>291128.79774000001</v>
      </c>
    </row>
    <row r="393" spans="2:6" ht="13.5" thickBot="1">
      <c r="B393" s="64"/>
      <c r="C393" s="65"/>
      <c r="D393" s="66"/>
      <c r="E393" s="63"/>
      <c r="F393" s="63"/>
    </row>
    <row r="394" spans="2:6" ht="13.5" thickBot="1">
      <c r="B394" s="55"/>
      <c r="C394" s="55"/>
      <c r="D394" s="67" t="s">
        <v>181</v>
      </c>
      <c r="E394" s="68">
        <f>SUM(E392:E393)</f>
        <v>0</v>
      </c>
      <c r="F394" s="68">
        <f>SUM(F392:F393)</f>
        <v>291128.79774000001</v>
      </c>
    </row>
    <row r="396" spans="2:6">
      <c r="B396" s="51" t="s">
        <v>176</v>
      </c>
      <c r="C396" s="51"/>
      <c r="D396" s="51"/>
      <c r="E396" s="23"/>
      <c r="F396" s="23"/>
    </row>
    <row r="397" spans="2:6">
      <c r="B397" s="22" t="s">
        <v>319</v>
      </c>
      <c r="C397" s="51"/>
      <c r="D397" s="51"/>
      <c r="E397" s="52"/>
      <c r="F397" s="52"/>
    </row>
    <row r="398" spans="2:6">
      <c r="B398" s="22" t="s">
        <v>154</v>
      </c>
      <c r="C398" s="51"/>
      <c r="D398" s="51"/>
      <c r="E398" s="52"/>
      <c r="F398" s="52"/>
    </row>
    <row r="399" spans="2:6">
      <c r="B399" s="22" t="s">
        <v>155</v>
      </c>
      <c r="C399" s="51"/>
      <c r="D399" s="51"/>
      <c r="E399" s="53"/>
      <c r="F399" s="53"/>
    </row>
    <row r="400" spans="2:6">
      <c r="B400" s="51" t="s">
        <v>211</v>
      </c>
      <c r="C400" s="51"/>
      <c r="D400" s="51"/>
      <c r="E400" s="54"/>
      <c r="F400" s="53"/>
    </row>
    <row r="401" spans="2:6" ht="13.5" thickBot="1">
      <c r="B401" s="51"/>
      <c r="C401" s="51"/>
      <c r="D401" s="51"/>
      <c r="E401" s="55"/>
      <c r="F401" s="55"/>
    </row>
    <row r="402" spans="2:6" ht="13.5" thickBot="1">
      <c r="B402" s="264" t="s">
        <v>166</v>
      </c>
      <c r="C402" s="264" t="s">
        <v>178</v>
      </c>
      <c r="D402" s="264" t="s">
        <v>179</v>
      </c>
      <c r="E402" s="272" t="s">
        <v>159</v>
      </c>
      <c r="F402" s="273"/>
    </row>
    <row r="403" spans="2:6" ht="13.5" thickBot="1">
      <c r="B403" s="265"/>
      <c r="C403" s="271"/>
      <c r="D403" s="271"/>
      <c r="E403" s="56" t="s">
        <v>160</v>
      </c>
      <c r="F403" s="56" t="s">
        <v>161</v>
      </c>
    </row>
    <row r="404" spans="2:6">
      <c r="B404" s="27">
        <v>41518</v>
      </c>
      <c r="C404" s="57"/>
      <c r="D404" s="58" t="s">
        <v>162</v>
      </c>
      <c r="E404" s="59"/>
      <c r="F404" s="74">
        <f>+'[1]MAY AGOSTO'!$F$397</f>
        <v>862000</v>
      </c>
    </row>
    <row r="405" spans="2:6" ht="13.5" thickBot="1">
      <c r="B405" s="64"/>
      <c r="C405" s="65"/>
      <c r="D405" s="66"/>
      <c r="E405" s="63"/>
      <c r="F405" s="63"/>
    </row>
    <row r="406" spans="2:6" ht="13.5" thickBot="1">
      <c r="B406" s="55"/>
      <c r="C406" s="55"/>
      <c r="D406" s="67" t="s">
        <v>181</v>
      </c>
      <c r="E406" s="68">
        <f>SUM(E404:E405)</f>
        <v>0</v>
      </c>
      <c r="F406" s="68">
        <f>SUM(F404:F405)</f>
        <v>862000</v>
      </c>
    </row>
    <row r="408" spans="2:6">
      <c r="B408" s="51" t="s">
        <v>176</v>
      </c>
      <c r="C408" s="51"/>
      <c r="D408" s="51"/>
      <c r="E408" s="23"/>
      <c r="F408" s="23"/>
    </row>
    <row r="409" spans="2:6">
      <c r="B409" s="22" t="s">
        <v>319</v>
      </c>
      <c r="C409" s="51"/>
      <c r="D409" s="51"/>
      <c r="E409" s="52"/>
      <c r="F409" s="52"/>
    </row>
    <row r="410" spans="2:6">
      <c r="B410" s="22" t="s">
        <v>154</v>
      </c>
      <c r="C410" s="51"/>
      <c r="D410" s="51"/>
      <c r="E410" s="52"/>
      <c r="F410" s="52"/>
    </row>
    <row r="411" spans="2:6">
      <c r="B411" s="22" t="s">
        <v>155</v>
      </c>
      <c r="C411" s="51"/>
      <c r="D411" s="51"/>
      <c r="E411" s="53"/>
      <c r="F411" s="53"/>
    </row>
    <row r="412" spans="2:6">
      <c r="B412" s="51" t="s">
        <v>212</v>
      </c>
      <c r="C412" s="51"/>
      <c r="D412" s="51"/>
      <c r="E412" s="54"/>
      <c r="F412" s="53"/>
    </row>
    <row r="413" spans="2:6" ht="13.5" thickBot="1">
      <c r="B413" s="51"/>
      <c r="C413" s="51"/>
      <c r="D413" s="51"/>
      <c r="E413" s="55"/>
      <c r="F413" s="55"/>
    </row>
    <row r="414" spans="2:6" ht="13.5" thickBot="1">
      <c r="B414" s="264" t="s">
        <v>166</v>
      </c>
      <c r="C414" s="264" t="s">
        <v>178</v>
      </c>
      <c r="D414" s="264" t="s">
        <v>179</v>
      </c>
      <c r="E414" s="272" t="s">
        <v>159</v>
      </c>
      <c r="F414" s="273"/>
    </row>
    <row r="415" spans="2:6" ht="13.5" thickBot="1">
      <c r="B415" s="265"/>
      <c r="C415" s="271"/>
      <c r="D415" s="271"/>
      <c r="E415" s="56" t="s">
        <v>160</v>
      </c>
      <c r="F415" s="56" t="s">
        <v>161</v>
      </c>
    </row>
    <row r="416" spans="2:6">
      <c r="B416" s="27">
        <v>41518</v>
      </c>
      <c r="C416" s="57"/>
      <c r="D416" s="58" t="s">
        <v>162</v>
      </c>
      <c r="E416" s="59"/>
      <c r="F416" s="59">
        <f>+'[1]MAY AGOSTO'!$F$409</f>
        <v>2934.5438098600134</v>
      </c>
    </row>
    <row r="417" spans="2:6" ht="13.5" thickBot="1">
      <c r="B417" s="64"/>
      <c r="C417" s="65"/>
      <c r="D417" s="66"/>
      <c r="E417" s="63"/>
      <c r="F417" s="63"/>
    </row>
    <row r="418" spans="2:6" ht="13.5" thickBot="1">
      <c r="B418" s="55"/>
      <c r="C418" s="55"/>
      <c r="D418" s="67" t="s">
        <v>181</v>
      </c>
      <c r="E418" s="68">
        <f>SUM(E416:E417)</f>
        <v>0</v>
      </c>
      <c r="F418" s="68">
        <f>SUM(F416:F417)</f>
        <v>2934.5438098600134</v>
      </c>
    </row>
    <row r="420" spans="2:6">
      <c r="B420" s="51" t="s">
        <v>176</v>
      </c>
      <c r="C420" s="51"/>
      <c r="D420" s="51"/>
      <c r="E420" s="23"/>
      <c r="F420" s="23"/>
    </row>
    <row r="421" spans="2:6">
      <c r="B421" s="22" t="s">
        <v>319</v>
      </c>
      <c r="C421" s="51"/>
      <c r="D421" s="51"/>
      <c r="E421" s="52"/>
      <c r="F421" s="52"/>
    </row>
    <row r="422" spans="2:6">
      <c r="B422" s="22" t="s">
        <v>154</v>
      </c>
      <c r="C422" s="51"/>
      <c r="D422" s="51"/>
      <c r="E422" s="52"/>
      <c r="F422" s="52"/>
    </row>
    <row r="423" spans="2:6">
      <c r="B423" s="22" t="s">
        <v>155</v>
      </c>
      <c r="C423" s="51"/>
      <c r="D423" s="51"/>
      <c r="E423" s="53"/>
      <c r="F423" s="53"/>
    </row>
    <row r="424" spans="2:6">
      <c r="B424" s="51" t="s">
        <v>213</v>
      </c>
      <c r="C424" s="51"/>
      <c r="D424" s="51"/>
      <c r="E424" s="54"/>
      <c r="F424" s="53"/>
    </row>
    <row r="425" spans="2:6" ht="13.5" thickBot="1">
      <c r="B425" s="51"/>
      <c r="C425" s="51"/>
      <c r="D425" s="51"/>
      <c r="E425" s="55"/>
      <c r="F425" s="55"/>
    </row>
    <row r="426" spans="2:6" ht="13.5" thickBot="1">
      <c r="B426" s="264" t="s">
        <v>166</v>
      </c>
      <c r="C426" s="264" t="s">
        <v>178</v>
      </c>
      <c r="D426" s="264" t="s">
        <v>179</v>
      </c>
      <c r="E426" s="272" t="s">
        <v>159</v>
      </c>
      <c r="F426" s="273"/>
    </row>
    <row r="427" spans="2:6" ht="13.5" thickBot="1">
      <c r="B427" s="265"/>
      <c r="C427" s="271"/>
      <c r="D427" s="271"/>
      <c r="E427" s="56" t="s">
        <v>160</v>
      </c>
      <c r="F427" s="56" t="s">
        <v>161</v>
      </c>
    </row>
    <row r="428" spans="2:6">
      <c r="B428" s="27">
        <v>41518</v>
      </c>
      <c r="C428" s="57"/>
      <c r="D428" s="58" t="s">
        <v>162</v>
      </c>
      <c r="E428" s="59">
        <f>+'[1]MAY AGOSTO'!$E$421</f>
        <v>2911784.3760749996</v>
      </c>
      <c r="F428" s="74"/>
    </row>
    <row r="429" spans="2:6">
      <c r="B429" s="256">
        <v>41547</v>
      </c>
      <c r="C429" s="257"/>
      <c r="D429" s="71" t="s">
        <v>279</v>
      </c>
      <c r="E429" s="77">
        <f>+DIARIO!G26</f>
        <v>126028.5</v>
      </c>
      <c r="F429" s="78"/>
    </row>
    <row r="430" spans="2:6" ht="13.5" thickBot="1">
      <c r="B430" s="64"/>
      <c r="C430" s="65"/>
      <c r="D430" s="66"/>
      <c r="E430" s="63"/>
      <c r="F430" s="63"/>
    </row>
    <row r="431" spans="2:6" ht="13.5" thickBot="1">
      <c r="B431" s="55"/>
      <c r="C431" s="55"/>
      <c r="D431" s="67" t="s">
        <v>181</v>
      </c>
      <c r="E431" s="68">
        <f>SUM(E428:E430)</f>
        <v>3037812.8760749996</v>
      </c>
      <c r="F431" s="68">
        <f>SUM(F428:F430)</f>
        <v>0</v>
      </c>
    </row>
    <row r="433" spans="1:6">
      <c r="B433" s="51" t="s">
        <v>176</v>
      </c>
      <c r="C433" s="51"/>
      <c r="D433" s="51"/>
      <c r="E433" s="23"/>
      <c r="F433" s="23"/>
    </row>
    <row r="434" spans="1:6">
      <c r="A434" s="79"/>
      <c r="B434" s="22" t="s">
        <v>319</v>
      </c>
      <c r="C434" s="51"/>
      <c r="D434" s="51"/>
      <c r="E434" s="52"/>
      <c r="F434" s="52"/>
    </row>
    <row r="435" spans="1:6">
      <c r="B435" s="22" t="s">
        <v>154</v>
      </c>
      <c r="C435" s="51"/>
      <c r="D435" s="51"/>
      <c r="E435" s="52"/>
      <c r="F435" s="52"/>
    </row>
    <row r="436" spans="1:6">
      <c r="B436" s="22" t="s">
        <v>155</v>
      </c>
      <c r="C436" s="51"/>
      <c r="D436" s="51"/>
      <c r="E436" s="53"/>
      <c r="F436" s="53"/>
    </row>
    <row r="437" spans="1:6">
      <c r="B437" s="51" t="s">
        <v>214</v>
      </c>
      <c r="C437" s="51"/>
      <c r="D437" s="51"/>
      <c r="E437" s="54"/>
      <c r="F437" s="53"/>
    </row>
    <row r="438" spans="1:6" ht="13.5" thickBot="1">
      <c r="B438" s="51"/>
      <c r="C438" s="51"/>
      <c r="D438" s="51"/>
      <c r="E438" s="55"/>
      <c r="F438" s="55"/>
    </row>
    <row r="439" spans="1:6" ht="13.5" thickBot="1">
      <c r="B439" s="264" t="s">
        <v>166</v>
      </c>
      <c r="C439" s="264" t="s">
        <v>178</v>
      </c>
      <c r="D439" s="264" t="s">
        <v>179</v>
      </c>
      <c r="E439" s="272" t="s">
        <v>159</v>
      </c>
      <c r="F439" s="273"/>
    </row>
    <row r="440" spans="1:6" ht="13.5" thickBot="1">
      <c r="B440" s="265"/>
      <c r="C440" s="271"/>
      <c r="D440" s="271"/>
      <c r="E440" s="56" t="s">
        <v>160</v>
      </c>
      <c r="F440" s="56" t="s">
        <v>161</v>
      </c>
    </row>
    <row r="441" spans="1:6">
      <c r="B441" s="27">
        <v>41518</v>
      </c>
      <c r="C441" s="84"/>
      <c r="D441" s="58" t="s">
        <v>162</v>
      </c>
      <c r="E441" s="59"/>
      <c r="F441" s="74">
        <f>+'[1]MAY AGOSTO'!$F$433</f>
        <v>2911784.3760749996</v>
      </c>
    </row>
    <row r="442" spans="1:6">
      <c r="B442" s="256">
        <v>41547</v>
      </c>
      <c r="C442" s="257"/>
      <c r="D442" s="71" t="s">
        <v>279</v>
      </c>
      <c r="E442" s="77"/>
      <c r="F442" s="87">
        <f>+DIARIO!H39</f>
        <v>126028.5</v>
      </c>
    </row>
    <row r="443" spans="1:6" ht="13.5" thickBot="1">
      <c r="B443" s="64"/>
      <c r="C443" s="65"/>
      <c r="D443" s="66"/>
      <c r="E443" s="63"/>
      <c r="F443" s="63"/>
    </row>
    <row r="444" spans="1:6" ht="13.5" thickBot="1">
      <c r="B444" s="55"/>
      <c r="C444" s="55"/>
      <c r="D444" s="67" t="s">
        <v>181</v>
      </c>
      <c r="E444" s="68">
        <f>SUM(E441:E443)</f>
        <v>0</v>
      </c>
      <c r="F444" s="68">
        <f>SUM(F441:F443)</f>
        <v>3037812.8760749996</v>
      </c>
    </row>
    <row r="446" spans="1:6">
      <c r="B446" s="51" t="s">
        <v>176</v>
      </c>
      <c r="C446" s="51"/>
      <c r="D446" s="51"/>
      <c r="E446" s="23"/>
      <c r="F446" s="23"/>
    </row>
    <row r="447" spans="1:6">
      <c r="B447" s="22" t="s">
        <v>319</v>
      </c>
      <c r="C447" s="51"/>
      <c r="D447" s="51"/>
      <c r="E447" s="52"/>
      <c r="F447" s="52"/>
    </row>
    <row r="448" spans="1:6">
      <c r="B448" s="22" t="s">
        <v>154</v>
      </c>
      <c r="C448" s="51"/>
      <c r="D448" s="51"/>
      <c r="E448" s="52"/>
      <c r="F448" s="52"/>
    </row>
    <row r="449" spans="2:6">
      <c r="B449" s="22" t="s">
        <v>155</v>
      </c>
      <c r="C449" s="51"/>
      <c r="D449" s="51"/>
      <c r="E449" s="53"/>
      <c r="F449" s="53"/>
    </row>
    <row r="450" spans="2:6">
      <c r="B450" s="51" t="s">
        <v>215</v>
      </c>
      <c r="C450" s="51"/>
      <c r="D450" s="51"/>
      <c r="E450" s="54"/>
      <c r="F450" s="53"/>
    </row>
    <row r="451" spans="2:6" ht="13.5" thickBot="1">
      <c r="B451" s="51"/>
      <c r="C451" s="51"/>
      <c r="D451" s="51"/>
      <c r="E451" s="55"/>
      <c r="F451" s="55"/>
    </row>
    <row r="452" spans="2:6" ht="13.5" thickBot="1">
      <c r="B452" s="264" t="s">
        <v>166</v>
      </c>
      <c r="C452" s="264" t="s">
        <v>178</v>
      </c>
      <c r="D452" s="264" t="s">
        <v>179</v>
      </c>
      <c r="E452" s="272" t="s">
        <v>159</v>
      </c>
      <c r="F452" s="273"/>
    </row>
    <row r="453" spans="2:6" ht="13.5" thickBot="1">
      <c r="B453" s="265"/>
      <c r="C453" s="271"/>
      <c r="D453" s="271"/>
      <c r="E453" s="56" t="s">
        <v>160</v>
      </c>
      <c r="F453" s="56" t="s">
        <v>161</v>
      </c>
    </row>
    <row r="454" spans="2:6" ht="15">
      <c r="B454" s="27">
        <v>41518</v>
      </c>
      <c r="C454" s="84"/>
      <c r="D454" s="58" t="s">
        <v>162</v>
      </c>
      <c r="E454" s="74">
        <f>+'[1]MAY AGOSTO'!$E$446</f>
        <v>127525.48</v>
      </c>
      <c r="F454" s="86"/>
    </row>
    <row r="455" spans="2:6">
      <c r="B455" s="60">
        <v>41547</v>
      </c>
      <c r="C455" s="36"/>
      <c r="D455" s="167" t="s">
        <v>265</v>
      </c>
      <c r="E455" s="85">
        <f>+DIARIO!G42</f>
        <v>11750.06</v>
      </c>
      <c r="F455" s="62"/>
    </row>
    <row r="456" spans="2:6" ht="13.5" thickBot="1">
      <c r="B456" s="64"/>
      <c r="C456" s="65"/>
      <c r="D456" s="66"/>
      <c r="E456" s="63"/>
      <c r="F456" s="63"/>
    </row>
    <row r="457" spans="2:6" ht="13.5" thickBot="1">
      <c r="B457" s="55"/>
      <c r="C457" s="55"/>
      <c r="D457" s="67" t="s">
        <v>181</v>
      </c>
      <c r="E457" s="68">
        <f>SUM(E454:E456)</f>
        <v>139275.54</v>
      </c>
      <c r="F457" s="68">
        <f>SUM(F454:F456)</f>
        <v>0</v>
      </c>
    </row>
    <row r="459" spans="2:6">
      <c r="B459" s="51" t="s">
        <v>176</v>
      </c>
      <c r="C459" s="51"/>
      <c r="D459" s="51"/>
      <c r="E459" s="23"/>
      <c r="F459" s="23"/>
    </row>
    <row r="460" spans="2:6">
      <c r="B460" s="22" t="s">
        <v>319</v>
      </c>
      <c r="C460" s="51"/>
      <c r="D460" s="51"/>
      <c r="E460" s="52"/>
      <c r="F460" s="52"/>
    </row>
    <row r="461" spans="2:6">
      <c r="B461" s="22" t="s">
        <v>154</v>
      </c>
      <c r="C461" s="51"/>
      <c r="D461" s="51"/>
      <c r="E461" s="52"/>
      <c r="F461" s="52"/>
    </row>
    <row r="462" spans="2:6">
      <c r="B462" s="22" t="s">
        <v>155</v>
      </c>
      <c r="C462" s="51"/>
      <c r="D462" s="51"/>
      <c r="E462" s="53"/>
      <c r="F462" s="53"/>
    </row>
    <row r="463" spans="2:6">
      <c r="B463" s="51" t="s">
        <v>216</v>
      </c>
      <c r="C463" s="51"/>
      <c r="D463" s="51"/>
      <c r="E463" s="54"/>
      <c r="F463" s="53"/>
    </row>
    <row r="464" spans="2:6" ht="13.5" thickBot="1">
      <c r="B464" s="51"/>
      <c r="C464" s="51"/>
      <c r="D464" s="51"/>
      <c r="E464" s="55"/>
      <c r="F464" s="55"/>
    </row>
    <row r="465" spans="2:6" ht="13.5" thickBot="1">
      <c r="B465" s="264" t="s">
        <v>166</v>
      </c>
      <c r="C465" s="264" t="s">
        <v>178</v>
      </c>
      <c r="D465" s="264" t="s">
        <v>179</v>
      </c>
      <c r="E465" s="272" t="s">
        <v>159</v>
      </c>
      <c r="F465" s="273"/>
    </row>
    <row r="466" spans="2:6" ht="13.5" thickBot="1">
      <c r="B466" s="265"/>
      <c r="C466" s="271"/>
      <c r="D466" s="271"/>
      <c r="E466" s="56" t="s">
        <v>160</v>
      </c>
      <c r="F466" s="56" t="s">
        <v>161</v>
      </c>
    </row>
    <row r="467" spans="2:6">
      <c r="B467" s="27">
        <v>41518</v>
      </c>
      <c r="C467" s="84"/>
      <c r="D467" s="58" t="s">
        <v>162</v>
      </c>
      <c r="E467" s="74">
        <f>+'[1]MAY AGOSTO'!$E$458</f>
        <v>16325.06</v>
      </c>
      <c r="F467" s="63"/>
    </row>
    <row r="468" spans="2:6" ht="13.5" thickBot="1">
      <c r="B468" s="64"/>
      <c r="C468" s="65"/>
      <c r="D468" s="66"/>
      <c r="E468" s="63"/>
      <c r="F468" s="63"/>
    </row>
    <row r="469" spans="2:6" ht="13.5" thickBot="1">
      <c r="B469" s="55"/>
      <c r="C469" s="55"/>
      <c r="D469" s="67" t="s">
        <v>181</v>
      </c>
      <c r="E469" s="68">
        <f>SUM(E467:E468)</f>
        <v>16325.06</v>
      </c>
      <c r="F469" s="68">
        <f>SUM(F467:F468)</f>
        <v>0</v>
      </c>
    </row>
    <row r="471" spans="2:6">
      <c r="B471" s="51" t="s">
        <v>176</v>
      </c>
      <c r="C471" s="51"/>
      <c r="D471" s="51"/>
      <c r="E471" s="23"/>
      <c r="F471" s="23"/>
    </row>
    <row r="472" spans="2:6">
      <c r="B472" s="22" t="s">
        <v>319</v>
      </c>
      <c r="C472" s="51"/>
      <c r="D472" s="51"/>
      <c r="E472" s="52"/>
      <c r="F472" s="52"/>
    </row>
    <row r="473" spans="2:6">
      <c r="B473" s="22" t="s">
        <v>154</v>
      </c>
      <c r="C473" s="51"/>
      <c r="D473" s="51"/>
      <c r="E473" s="52"/>
      <c r="F473" s="52"/>
    </row>
    <row r="474" spans="2:6">
      <c r="B474" s="22" t="s">
        <v>155</v>
      </c>
      <c r="C474" s="51"/>
      <c r="D474" s="51"/>
      <c r="E474" s="53"/>
      <c r="F474" s="53"/>
    </row>
    <row r="475" spans="2:6">
      <c r="B475" s="51" t="s">
        <v>217</v>
      </c>
      <c r="C475" s="51"/>
      <c r="D475" s="51"/>
      <c r="E475" s="54"/>
      <c r="F475" s="53"/>
    </row>
    <row r="476" spans="2:6" ht="13.5" thickBot="1">
      <c r="B476" s="51"/>
      <c r="C476" s="51"/>
      <c r="D476" s="51"/>
      <c r="E476" s="55"/>
      <c r="F476" s="55"/>
    </row>
    <row r="477" spans="2:6" ht="13.5" thickBot="1">
      <c r="B477" s="264" t="s">
        <v>166</v>
      </c>
      <c r="C477" s="264" t="s">
        <v>178</v>
      </c>
      <c r="D477" s="264" t="s">
        <v>179</v>
      </c>
      <c r="E477" s="272" t="s">
        <v>159</v>
      </c>
      <c r="F477" s="273"/>
    </row>
    <row r="478" spans="2:6" ht="13.5" thickBot="1">
      <c r="B478" s="265"/>
      <c r="C478" s="271"/>
      <c r="D478" s="271"/>
      <c r="E478" s="56" t="s">
        <v>160</v>
      </c>
      <c r="F478" s="56" t="s">
        <v>161</v>
      </c>
    </row>
    <row r="479" spans="2:6">
      <c r="B479" s="27">
        <v>41518</v>
      </c>
      <c r="C479" s="84"/>
      <c r="D479" s="58" t="s">
        <v>162</v>
      </c>
      <c r="E479" s="74">
        <f>+'[1]MAY AGOSTO'!$E$470</f>
        <v>16325.06</v>
      </c>
      <c r="F479" s="63"/>
    </row>
    <row r="480" spans="2:6" ht="13.5" thickBot="1">
      <c r="B480" s="64"/>
      <c r="C480" s="65"/>
      <c r="D480" s="66"/>
      <c r="E480" s="63"/>
      <c r="F480" s="63"/>
    </row>
    <row r="481" spans="2:6" ht="13.5" thickBot="1">
      <c r="B481" s="55"/>
      <c r="C481" s="55"/>
      <c r="D481" s="67" t="s">
        <v>181</v>
      </c>
      <c r="E481" s="68">
        <f>SUM(E479:E480)</f>
        <v>16325.06</v>
      </c>
      <c r="F481" s="68">
        <f>SUM(F479:F480)</f>
        <v>0</v>
      </c>
    </row>
    <row r="482" spans="2:6">
      <c r="B482" s="55"/>
      <c r="C482" s="55"/>
      <c r="D482" s="67"/>
      <c r="E482" s="83"/>
      <c r="F482" s="83"/>
    </row>
    <row r="483" spans="2:6">
      <c r="B483" s="51" t="s">
        <v>176</v>
      </c>
      <c r="C483" s="51"/>
      <c r="D483" s="51"/>
      <c r="E483" s="23"/>
      <c r="F483" s="23"/>
    </row>
    <row r="484" spans="2:6">
      <c r="B484" s="22" t="s">
        <v>319</v>
      </c>
      <c r="C484" s="51"/>
      <c r="D484" s="51"/>
      <c r="E484" s="52"/>
      <c r="F484" s="52"/>
    </row>
    <row r="485" spans="2:6">
      <c r="B485" s="22" t="s">
        <v>154</v>
      </c>
      <c r="C485" s="51"/>
      <c r="D485" s="51"/>
      <c r="E485" s="52"/>
      <c r="F485" s="52"/>
    </row>
    <row r="486" spans="2:6">
      <c r="B486" s="22" t="s">
        <v>155</v>
      </c>
      <c r="C486" s="51"/>
      <c r="D486" s="51"/>
      <c r="E486" s="53"/>
      <c r="F486" s="53"/>
    </row>
    <row r="487" spans="2:6">
      <c r="B487" s="51" t="s">
        <v>218</v>
      </c>
      <c r="C487" s="51"/>
      <c r="D487" s="51"/>
      <c r="E487" s="54"/>
      <c r="F487" s="53"/>
    </row>
    <row r="488" spans="2:6" ht="13.5" thickBot="1">
      <c r="B488" s="51"/>
      <c r="C488" s="51"/>
      <c r="D488" s="51"/>
      <c r="E488" s="55"/>
      <c r="F488" s="55"/>
    </row>
    <row r="489" spans="2:6" ht="13.5" thickBot="1">
      <c r="B489" s="264" t="s">
        <v>166</v>
      </c>
      <c r="C489" s="264" t="s">
        <v>178</v>
      </c>
      <c r="D489" s="264" t="s">
        <v>179</v>
      </c>
      <c r="E489" s="272" t="s">
        <v>159</v>
      </c>
      <c r="F489" s="273"/>
    </row>
    <row r="490" spans="2:6" ht="13.5" thickBot="1">
      <c r="B490" s="265"/>
      <c r="C490" s="271"/>
      <c r="D490" s="271"/>
      <c r="E490" s="56" t="s">
        <v>160</v>
      </c>
      <c r="F490" s="56" t="s">
        <v>161</v>
      </c>
    </row>
    <row r="491" spans="2:6">
      <c r="B491" s="27">
        <v>41518</v>
      </c>
      <c r="C491" s="84"/>
      <c r="D491" s="58" t="s">
        <v>162</v>
      </c>
      <c r="E491" s="59">
        <f>+'[1]MAY AGOSTO'!$E$483</f>
        <v>11477.2932</v>
      </c>
      <c r="F491" s="74"/>
    </row>
    <row r="492" spans="2:6">
      <c r="B492" s="60">
        <v>41547</v>
      </c>
      <c r="C492" s="36"/>
      <c r="D492" s="167" t="s">
        <v>265</v>
      </c>
      <c r="E492" s="85">
        <f>+DIARIO!G43</f>
        <v>1057.51</v>
      </c>
      <c r="F492" s="62"/>
    </row>
    <row r="493" spans="2:6" ht="13.5" thickBot="1">
      <c r="B493" s="64"/>
      <c r="C493" s="65"/>
      <c r="D493" s="66"/>
      <c r="E493" s="63"/>
      <c r="F493" s="63"/>
    </row>
    <row r="494" spans="2:6" ht="13.5" thickBot="1">
      <c r="B494" s="55"/>
      <c r="C494" s="55"/>
      <c r="D494" s="67" t="s">
        <v>181</v>
      </c>
      <c r="E494" s="68">
        <f>SUM(E491:E493)</f>
        <v>12534.8032</v>
      </c>
      <c r="F494" s="68">
        <f>SUM(F491:F493)</f>
        <v>0</v>
      </c>
    </row>
    <row r="496" spans="2:6">
      <c r="B496" s="51" t="s">
        <v>176</v>
      </c>
      <c r="C496" s="51"/>
      <c r="D496" s="51"/>
      <c r="E496" s="23"/>
      <c r="F496" s="23"/>
    </row>
    <row r="497" spans="2:6">
      <c r="B497" s="22" t="s">
        <v>319</v>
      </c>
      <c r="C497" s="51"/>
      <c r="D497" s="51"/>
      <c r="E497" s="52"/>
      <c r="F497" s="52"/>
    </row>
    <row r="498" spans="2:6">
      <c r="B498" s="22" t="s">
        <v>154</v>
      </c>
      <c r="C498" s="51"/>
      <c r="D498" s="51"/>
      <c r="E498" s="52"/>
      <c r="F498" s="52"/>
    </row>
    <row r="499" spans="2:6">
      <c r="B499" s="22" t="s">
        <v>155</v>
      </c>
      <c r="C499" s="51"/>
      <c r="D499" s="51"/>
      <c r="E499" s="53"/>
      <c r="F499" s="53"/>
    </row>
    <row r="500" spans="2:6">
      <c r="B500" s="51" t="s">
        <v>219</v>
      </c>
      <c r="C500" s="51"/>
      <c r="D500" s="51"/>
      <c r="E500" s="54"/>
      <c r="F500" s="53"/>
    </row>
    <row r="501" spans="2:6" ht="13.5" thickBot="1">
      <c r="B501" s="51"/>
      <c r="C501" s="51"/>
      <c r="D501" s="51"/>
      <c r="E501" s="55"/>
      <c r="F501" s="55"/>
    </row>
    <row r="502" spans="2:6" ht="13.5" thickBot="1">
      <c r="B502" s="264" t="s">
        <v>166</v>
      </c>
      <c r="C502" s="264" t="s">
        <v>178</v>
      </c>
      <c r="D502" s="264" t="s">
        <v>179</v>
      </c>
      <c r="E502" s="272" t="s">
        <v>159</v>
      </c>
      <c r="F502" s="273"/>
    </row>
    <row r="503" spans="2:6" ht="13.5" thickBot="1">
      <c r="B503" s="265"/>
      <c r="C503" s="271"/>
      <c r="D503" s="271"/>
      <c r="E503" s="56" t="s">
        <v>160</v>
      </c>
      <c r="F503" s="56" t="s">
        <v>161</v>
      </c>
    </row>
    <row r="504" spans="2:6">
      <c r="B504" s="27">
        <v>41518</v>
      </c>
      <c r="C504" s="84"/>
      <c r="D504" s="58" t="s">
        <v>162</v>
      </c>
      <c r="E504" s="59">
        <f>+'[1]MAY AGOSTO'!$E$496</f>
        <v>16172.550000000001</v>
      </c>
      <c r="F504" s="74"/>
    </row>
    <row r="505" spans="2:6">
      <c r="B505" s="60">
        <v>41547</v>
      </c>
      <c r="C505" s="36"/>
      <c r="D505" s="36" t="s">
        <v>279</v>
      </c>
      <c r="E505" s="85">
        <f>+DIARIO!G27</f>
        <v>2434.7399999999998</v>
      </c>
      <c r="F505" s="62"/>
    </row>
    <row r="506" spans="2:6" ht="13.5" thickBot="1">
      <c r="B506" s="64"/>
      <c r="C506" s="65"/>
      <c r="D506" s="66"/>
      <c r="E506" s="63"/>
      <c r="F506" s="63"/>
    </row>
    <row r="507" spans="2:6" ht="13.5" thickBot="1">
      <c r="B507" s="55"/>
      <c r="C507" s="55"/>
      <c r="D507" s="67" t="s">
        <v>181</v>
      </c>
      <c r="E507" s="68">
        <f>SUM(E504:E506)</f>
        <v>18607.29</v>
      </c>
      <c r="F507" s="68">
        <f>SUM(F504:F506)</f>
        <v>0</v>
      </c>
    </row>
    <row r="509" spans="2:6">
      <c r="B509" s="51" t="s">
        <v>176</v>
      </c>
      <c r="C509" s="51"/>
      <c r="D509" s="51"/>
      <c r="E509" s="23"/>
      <c r="F509" s="23"/>
    </row>
    <row r="510" spans="2:6">
      <c r="B510" s="22" t="s">
        <v>319</v>
      </c>
      <c r="C510" s="51"/>
      <c r="D510" s="51"/>
      <c r="E510" s="52"/>
      <c r="F510" s="52"/>
    </row>
    <row r="511" spans="2:6">
      <c r="B511" s="22" t="s">
        <v>154</v>
      </c>
      <c r="C511" s="51"/>
      <c r="D511" s="51"/>
      <c r="E511" s="52"/>
      <c r="F511" s="52"/>
    </row>
    <row r="512" spans="2:6">
      <c r="B512" s="22" t="s">
        <v>155</v>
      </c>
      <c r="C512" s="51"/>
      <c r="D512" s="51"/>
      <c r="E512" s="53"/>
      <c r="F512" s="53"/>
    </row>
    <row r="513" spans="2:6">
      <c r="B513" s="51" t="s">
        <v>220</v>
      </c>
      <c r="C513" s="51"/>
      <c r="D513" s="51"/>
      <c r="E513" s="54"/>
      <c r="F513" s="53"/>
    </row>
    <row r="514" spans="2:6" ht="13.5" thickBot="1">
      <c r="B514" s="51"/>
      <c r="C514" s="51"/>
      <c r="D514" s="51"/>
      <c r="E514" s="55"/>
      <c r="F514" s="55"/>
    </row>
    <row r="515" spans="2:6" ht="13.5" thickBot="1">
      <c r="B515" s="264" t="s">
        <v>166</v>
      </c>
      <c r="C515" s="264" t="s">
        <v>178</v>
      </c>
      <c r="D515" s="264" t="s">
        <v>179</v>
      </c>
      <c r="E515" s="272" t="s">
        <v>159</v>
      </c>
      <c r="F515" s="273"/>
    </row>
    <row r="516" spans="2:6" ht="13.5" thickBot="1">
      <c r="B516" s="265"/>
      <c r="C516" s="271"/>
      <c r="D516" s="271"/>
      <c r="E516" s="56" t="s">
        <v>160</v>
      </c>
      <c r="F516" s="56" t="s">
        <v>161</v>
      </c>
    </row>
    <row r="517" spans="2:6">
      <c r="B517" s="27">
        <v>41518</v>
      </c>
      <c r="C517" s="84"/>
      <c r="D517" s="58" t="s">
        <v>162</v>
      </c>
      <c r="E517" s="59">
        <f>+'[1]MAY AGOSTO'!$E$509</f>
        <v>3547.83</v>
      </c>
      <c r="F517" s="74"/>
    </row>
    <row r="518" spans="2:6">
      <c r="B518" s="60">
        <v>41547</v>
      </c>
      <c r="C518" s="36"/>
      <c r="D518" s="36" t="s">
        <v>279</v>
      </c>
      <c r="E518" s="77">
        <f>+DIARIO!G28</f>
        <v>1439.13</v>
      </c>
      <c r="F518" s="78"/>
    </row>
    <row r="519" spans="2:6" ht="13.5" thickBot="1">
      <c r="B519" s="64"/>
      <c r="C519" s="65"/>
      <c r="D519" s="66"/>
      <c r="E519" s="63"/>
      <c r="F519" s="63"/>
    </row>
    <row r="520" spans="2:6" ht="13.5" thickBot="1">
      <c r="B520" s="55"/>
      <c r="C520" s="55"/>
      <c r="D520" s="67" t="s">
        <v>181</v>
      </c>
      <c r="E520" s="68">
        <f>SUM(E517:E519)</f>
        <v>4986.96</v>
      </c>
      <c r="F520" s="68">
        <f>SUM(F517:F519)</f>
        <v>0</v>
      </c>
    </row>
    <row r="522" spans="2:6">
      <c r="B522" s="51" t="s">
        <v>176</v>
      </c>
      <c r="C522" s="51"/>
      <c r="D522" s="51"/>
      <c r="E522" s="23"/>
      <c r="F522" s="23"/>
    </row>
    <row r="523" spans="2:6">
      <c r="B523" s="22" t="s">
        <v>319</v>
      </c>
      <c r="C523" s="51"/>
      <c r="D523" s="51"/>
      <c r="E523" s="52"/>
      <c r="F523" s="52"/>
    </row>
    <row r="524" spans="2:6">
      <c r="B524" s="22" t="s">
        <v>154</v>
      </c>
      <c r="C524" s="51"/>
      <c r="D524" s="51"/>
      <c r="E524" s="52"/>
      <c r="F524" s="52"/>
    </row>
    <row r="525" spans="2:6">
      <c r="B525" s="22" t="s">
        <v>155</v>
      </c>
      <c r="C525" s="51"/>
      <c r="D525" s="51"/>
      <c r="E525" s="53"/>
      <c r="F525" s="53"/>
    </row>
    <row r="526" spans="2:6">
      <c r="B526" s="51" t="s">
        <v>221</v>
      </c>
      <c r="C526" s="51"/>
      <c r="D526" s="51"/>
      <c r="E526" s="54"/>
      <c r="F526" s="53"/>
    </row>
    <row r="527" spans="2:6" ht="13.5" thickBot="1">
      <c r="B527" s="51"/>
      <c r="C527" s="51"/>
      <c r="D527" s="51"/>
      <c r="E527" s="55"/>
      <c r="F527" s="55"/>
    </row>
    <row r="528" spans="2:6" ht="13.5" thickBot="1">
      <c r="B528" s="264" t="s">
        <v>166</v>
      </c>
      <c r="C528" s="264" t="s">
        <v>178</v>
      </c>
      <c r="D528" s="264" t="s">
        <v>179</v>
      </c>
      <c r="E528" s="272" t="s">
        <v>159</v>
      </c>
      <c r="F528" s="273"/>
    </row>
    <row r="529" spans="2:6" ht="13.5" thickBot="1">
      <c r="B529" s="265"/>
      <c r="C529" s="271"/>
      <c r="D529" s="271"/>
      <c r="E529" s="56" t="s">
        <v>160</v>
      </c>
      <c r="F529" s="56" t="s">
        <v>161</v>
      </c>
    </row>
    <row r="530" spans="2:6">
      <c r="B530" s="27">
        <v>41518</v>
      </c>
      <c r="C530" s="84"/>
      <c r="D530" s="58" t="s">
        <v>162</v>
      </c>
      <c r="E530" s="59">
        <f>+'[1]MAY AGOSTO'!$E$522</f>
        <v>3691.51</v>
      </c>
      <c r="F530" s="74"/>
    </row>
    <row r="531" spans="2:6">
      <c r="B531" s="60">
        <v>41547</v>
      </c>
      <c r="C531" s="36"/>
      <c r="D531" s="36" t="s">
        <v>279</v>
      </c>
      <c r="E531" s="85">
        <f>+DIARIO!G29</f>
        <v>1611.79</v>
      </c>
      <c r="F531" s="62"/>
    </row>
    <row r="532" spans="2:6" ht="13.5" thickBot="1">
      <c r="B532" s="64"/>
      <c r="C532" s="65"/>
      <c r="D532" s="66"/>
      <c r="E532" s="63"/>
      <c r="F532" s="63"/>
    </row>
    <row r="533" spans="2:6" ht="13.5" thickBot="1">
      <c r="B533" s="55"/>
      <c r="C533" s="55"/>
      <c r="D533" s="67" t="s">
        <v>181</v>
      </c>
      <c r="E533" s="68">
        <f>SUM(E530:E532)</f>
        <v>5303.3</v>
      </c>
      <c r="F533" s="68">
        <f>SUM(F530:F532)</f>
        <v>0</v>
      </c>
    </row>
    <row r="535" spans="2:6">
      <c r="B535" s="51" t="s">
        <v>176</v>
      </c>
      <c r="C535" s="51"/>
      <c r="D535" s="51"/>
      <c r="E535" s="23"/>
      <c r="F535" s="23"/>
    </row>
    <row r="536" spans="2:6">
      <c r="B536" s="22" t="s">
        <v>319</v>
      </c>
      <c r="C536" s="51"/>
      <c r="D536" s="51"/>
      <c r="E536" s="52"/>
      <c r="F536" s="52"/>
    </row>
    <row r="537" spans="2:6">
      <c r="B537" s="22" t="s">
        <v>154</v>
      </c>
      <c r="C537" s="51"/>
      <c r="D537" s="51"/>
      <c r="E537" s="52"/>
      <c r="F537" s="52"/>
    </row>
    <row r="538" spans="2:6">
      <c r="B538" s="22" t="s">
        <v>155</v>
      </c>
      <c r="C538" s="51"/>
      <c r="D538" s="51"/>
      <c r="E538" s="53"/>
      <c r="F538" s="53"/>
    </row>
    <row r="539" spans="2:6">
      <c r="B539" s="51" t="s">
        <v>222</v>
      </c>
      <c r="C539" s="51"/>
      <c r="D539" s="51"/>
      <c r="E539" s="54"/>
      <c r="F539" s="53"/>
    </row>
    <row r="540" spans="2:6" ht="13.5" thickBot="1">
      <c r="B540" s="51"/>
      <c r="C540" s="51"/>
      <c r="D540" s="51"/>
      <c r="E540" s="55"/>
      <c r="F540" s="55"/>
    </row>
    <row r="541" spans="2:6" ht="13.5" thickBot="1">
      <c r="B541" s="264" t="s">
        <v>166</v>
      </c>
      <c r="C541" s="264" t="s">
        <v>178</v>
      </c>
      <c r="D541" s="264" t="s">
        <v>179</v>
      </c>
      <c r="E541" s="272" t="s">
        <v>159</v>
      </c>
      <c r="F541" s="273"/>
    </row>
    <row r="542" spans="2:6" ht="13.5" thickBot="1">
      <c r="B542" s="265"/>
      <c r="C542" s="271"/>
      <c r="D542" s="271"/>
      <c r="E542" s="56" t="s">
        <v>160</v>
      </c>
      <c r="F542" s="56" t="s">
        <v>161</v>
      </c>
    </row>
    <row r="543" spans="2:6">
      <c r="B543" s="27">
        <v>41518</v>
      </c>
      <c r="C543" s="84"/>
      <c r="D543" s="58" t="s">
        <v>162</v>
      </c>
      <c r="E543" s="59">
        <f>+'[1]MAY AGOSTO'!$E$534</f>
        <v>941.41</v>
      </c>
      <c r="F543" s="74"/>
    </row>
    <row r="544" spans="2:6" ht="13.5" thickBot="1">
      <c r="B544" s="88"/>
      <c r="C544" s="65"/>
      <c r="D544" s="66"/>
      <c r="E544" s="63"/>
      <c r="F544" s="63"/>
    </row>
    <row r="545" spans="2:6" ht="13.5" thickBot="1">
      <c r="B545" s="55"/>
      <c r="C545" s="55"/>
      <c r="D545" s="67" t="s">
        <v>181</v>
      </c>
      <c r="E545" s="68">
        <f>SUM(E543:E544)</f>
        <v>941.41</v>
      </c>
      <c r="F545" s="68">
        <f>SUM(F543:F544)</f>
        <v>0</v>
      </c>
    </row>
    <row r="547" spans="2:6">
      <c r="B547" s="51" t="s">
        <v>176</v>
      </c>
      <c r="C547" s="51"/>
      <c r="D547" s="51"/>
      <c r="E547" s="23"/>
      <c r="F547" s="23"/>
    </row>
    <row r="548" spans="2:6">
      <c r="B548" s="22" t="s">
        <v>319</v>
      </c>
      <c r="C548" s="51"/>
      <c r="D548" s="51"/>
      <c r="E548" s="52"/>
      <c r="F548" s="52"/>
    </row>
    <row r="549" spans="2:6">
      <c r="B549" s="22" t="s">
        <v>154</v>
      </c>
      <c r="C549" s="51"/>
      <c r="D549" s="51"/>
      <c r="E549" s="52"/>
      <c r="F549" s="52"/>
    </row>
    <row r="550" spans="2:6">
      <c r="B550" s="22" t="s">
        <v>155</v>
      </c>
      <c r="C550" s="51"/>
      <c r="D550" s="51"/>
      <c r="E550" s="53"/>
      <c r="F550" s="53"/>
    </row>
    <row r="551" spans="2:6">
      <c r="B551" s="51" t="s">
        <v>223</v>
      </c>
      <c r="C551" s="51"/>
      <c r="D551" s="51"/>
      <c r="E551" s="54"/>
      <c r="F551" s="53"/>
    </row>
    <row r="552" spans="2:6" ht="13.5" thickBot="1">
      <c r="B552" s="51"/>
      <c r="C552" s="51"/>
      <c r="D552" s="51"/>
      <c r="E552" s="55"/>
      <c r="F552" s="55"/>
    </row>
    <row r="553" spans="2:6" ht="13.5" thickBot="1">
      <c r="B553" s="264" t="s">
        <v>166</v>
      </c>
      <c r="C553" s="264" t="s">
        <v>178</v>
      </c>
      <c r="D553" s="264" t="s">
        <v>179</v>
      </c>
      <c r="E553" s="272" t="s">
        <v>159</v>
      </c>
      <c r="F553" s="273"/>
    </row>
    <row r="554" spans="2:6" ht="13.5" thickBot="1">
      <c r="B554" s="265"/>
      <c r="C554" s="271"/>
      <c r="D554" s="271"/>
      <c r="E554" s="56" t="s">
        <v>160</v>
      </c>
      <c r="F554" s="56" t="s">
        <v>161</v>
      </c>
    </row>
    <row r="555" spans="2:6">
      <c r="B555" s="27">
        <v>41518</v>
      </c>
      <c r="C555" s="84"/>
      <c r="D555" s="58" t="s">
        <v>162</v>
      </c>
      <c r="E555" s="59">
        <f>+'[1]MAY AGOSTO'!$E$546</f>
        <v>31530.309999999998</v>
      </c>
      <c r="F555" s="74"/>
    </row>
    <row r="556" spans="2:6">
      <c r="B556" s="60">
        <v>41547</v>
      </c>
      <c r="C556" s="36"/>
      <c r="D556" s="36" t="s">
        <v>279</v>
      </c>
      <c r="E556" s="85">
        <f>+DIARIO!G30</f>
        <v>1047.79</v>
      </c>
      <c r="F556" s="78"/>
    </row>
    <row r="557" spans="2:6" ht="13.5" thickBot="1">
      <c r="B557" s="88"/>
      <c r="C557" s="65"/>
      <c r="D557" s="66"/>
      <c r="E557" s="63"/>
      <c r="F557" s="63"/>
    </row>
    <row r="558" spans="2:6" ht="13.5" thickBot="1">
      <c r="B558" s="55"/>
      <c r="C558" s="55"/>
      <c r="D558" s="67" t="s">
        <v>181</v>
      </c>
      <c r="E558" s="68">
        <f>SUM(E555:E557)</f>
        <v>32578.1</v>
      </c>
      <c r="F558" s="68">
        <f>SUM(F555:F557)</f>
        <v>0</v>
      </c>
    </row>
    <row r="560" spans="2:6">
      <c r="B560" s="51" t="s">
        <v>176</v>
      </c>
      <c r="C560" s="51"/>
      <c r="D560" s="51"/>
      <c r="E560" s="23"/>
      <c r="F560" s="23"/>
    </row>
    <row r="561" spans="2:6">
      <c r="B561" s="22" t="s">
        <v>319</v>
      </c>
      <c r="C561" s="51"/>
      <c r="D561" s="51"/>
      <c r="E561" s="52"/>
      <c r="F561" s="52"/>
    </row>
    <row r="562" spans="2:6">
      <c r="B562" s="22" t="s">
        <v>154</v>
      </c>
      <c r="C562" s="51"/>
      <c r="D562" s="51"/>
      <c r="E562" s="52"/>
      <c r="F562" s="52"/>
    </row>
    <row r="563" spans="2:6">
      <c r="B563" s="22" t="s">
        <v>155</v>
      </c>
      <c r="C563" s="51"/>
      <c r="D563" s="51"/>
      <c r="E563" s="53"/>
      <c r="F563" s="53"/>
    </row>
    <row r="564" spans="2:6">
      <c r="B564" s="51" t="s">
        <v>293</v>
      </c>
      <c r="C564" s="51"/>
      <c r="D564" s="51"/>
      <c r="E564" s="54"/>
      <c r="F564" s="53"/>
    </row>
    <row r="565" spans="2:6" ht="13.5" thickBot="1">
      <c r="B565" s="51"/>
      <c r="C565" s="51"/>
      <c r="D565" s="51"/>
      <c r="E565" s="55"/>
      <c r="F565" s="55"/>
    </row>
    <row r="566" spans="2:6" ht="13.5" thickBot="1">
      <c r="B566" s="264" t="s">
        <v>166</v>
      </c>
      <c r="C566" s="264" t="s">
        <v>178</v>
      </c>
      <c r="D566" s="264" t="s">
        <v>179</v>
      </c>
      <c r="E566" s="272" t="s">
        <v>159</v>
      </c>
      <c r="F566" s="273"/>
    </row>
    <row r="567" spans="2:6" ht="13.5" thickBot="1">
      <c r="B567" s="265"/>
      <c r="C567" s="271"/>
      <c r="D567" s="271"/>
      <c r="E567" s="56" t="s">
        <v>160</v>
      </c>
      <c r="F567" s="56" t="s">
        <v>161</v>
      </c>
    </row>
    <row r="568" spans="2:6">
      <c r="B568" s="27">
        <v>41518</v>
      </c>
      <c r="C568" s="84"/>
      <c r="D568" s="58" t="s">
        <v>162</v>
      </c>
      <c r="E568" s="59">
        <f>+'[1]MAY AGOSTO'!$E$558</f>
        <v>1297.46</v>
      </c>
      <c r="F568" s="74"/>
    </row>
    <row r="569" spans="2:6">
      <c r="B569" s="60">
        <v>41547</v>
      </c>
      <c r="C569" s="36"/>
      <c r="D569" s="36" t="s">
        <v>279</v>
      </c>
      <c r="E569" s="85">
        <f>+DIARIO!G31</f>
        <v>10976.04</v>
      </c>
      <c r="F569" s="78"/>
    </row>
    <row r="570" spans="2:6" ht="13.5" thickBot="1">
      <c r="B570" s="64"/>
      <c r="C570" s="65"/>
      <c r="D570" s="66"/>
      <c r="E570" s="63"/>
      <c r="F570" s="63"/>
    </row>
    <row r="571" spans="2:6" ht="13.5" thickBot="1">
      <c r="B571" s="55"/>
      <c r="C571" s="55"/>
      <c r="D571" s="67" t="s">
        <v>181</v>
      </c>
      <c r="E571" s="68">
        <f>SUM(E568:E570)</f>
        <v>12273.5</v>
      </c>
      <c r="F571" s="68">
        <f>SUM(F568:F570)</f>
        <v>0</v>
      </c>
    </row>
    <row r="572" spans="2:6">
      <c r="B572" s="55"/>
      <c r="C572" s="55"/>
      <c r="D572" s="67"/>
      <c r="E572" s="83"/>
      <c r="F572" s="83"/>
    </row>
    <row r="573" spans="2:6">
      <c r="B573" s="51" t="s">
        <v>176</v>
      </c>
      <c r="C573" s="51"/>
      <c r="D573" s="51"/>
      <c r="E573" s="23"/>
      <c r="F573" s="23"/>
    </row>
    <row r="574" spans="2:6">
      <c r="B574" s="22" t="s">
        <v>319</v>
      </c>
      <c r="C574" s="51"/>
      <c r="D574" s="51"/>
      <c r="E574" s="52"/>
      <c r="F574" s="52"/>
    </row>
    <row r="575" spans="2:6">
      <c r="B575" s="22" t="s">
        <v>154</v>
      </c>
      <c r="C575" s="51"/>
      <c r="D575" s="51"/>
      <c r="E575" s="52"/>
      <c r="F575" s="52"/>
    </row>
    <row r="576" spans="2:6">
      <c r="B576" s="22" t="s">
        <v>155</v>
      </c>
      <c r="C576" s="51"/>
      <c r="D576" s="51"/>
      <c r="E576" s="53"/>
      <c r="F576" s="53"/>
    </row>
    <row r="577" spans="2:6">
      <c r="B577" s="51" t="s">
        <v>224</v>
      </c>
      <c r="C577" s="51"/>
      <c r="D577" s="51"/>
      <c r="E577" s="54"/>
      <c r="F577" s="53"/>
    </row>
    <row r="578" spans="2:6" ht="13.5" thickBot="1">
      <c r="B578" s="51"/>
      <c r="C578" s="51"/>
      <c r="D578" s="51"/>
      <c r="E578" s="55"/>
      <c r="F578" s="55"/>
    </row>
    <row r="579" spans="2:6" ht="13.5" thickBot="1">
      <c r="B579" s="264" t="s">
        <v>166</v>
      </c>
      <c r="C579" s="264" t="s">
        <v>178</v>
      </c>
      <c r="D579" s="264" t="s">
        <v>179</v>
      </c>
      <c r="E579" s="272" t="s">
        <v>159</v>
      </c>
      <c r="F579" s="273"/>
    </row>
    <row r="580" spans="2:6" ht="13.5" thickBot="1">
      <c r="B580" s="265"/>
      <c r="C580" s="271"/>
      <c r="D580" s="271"/>
      <c r="E580" s="56" t="s">
        <v>160</v>
      </c>
      <c r="F580" s="56" t="s">
        <v>161</v>
      </c>
    </row>
    <row r="581" spans="2:6">
      <c r="B581" s="27">
        <v>41518</v>
      </c>
      <c r="C581" s="84"/>
      <c r="D581" s="58" t="s">
        <v>162</v>
      </c>
      <c r="E581" s="59">
        <f>+'[1]MAY AGOSTO'!$E$570</f>
        <v>212.5</v>
      </c>
      <c r="F581" s="74"/>
    </row>
    <row r="582" spans="2:6" ht="13.5" thickBot="1">
      <c r="B582" s="64"/>
      <c r="C582" s="65"/>
      <c r="D582" s="66"/>
      <c r="E582" s="63"/>
      <c r="F582" s="63"/>
    </row>
    <row r="583" spans="2:6" ht="13.5" thickBot="1">
      <c r="B583" s="55"/>
      <c r="C583" s="55"/>
      <c r="D583" s="67" t="s">
        <v>181</v>
      </c>
      <c r="E583" s="68">
        <f>SUM(E581:E582)</f>
        <v>212.5</v>
      </c>
      <c r="F583" s="68">
        <f>SUM(F581:F582)</f>
        <v>0</v>
      </c>
    </row>
    <row r="584" spans="2:6">
      <c r="B584" s="55"/>
      <c r="C584" s="55"/>
      <c r="D584" s="67"/>
      <c r="E584" s="83"/>
      <c r="F584" s="83"/>
    </row>
    <row r="585" spans="2:6">
      <c r="B585" s="51" t="s">
        <v>176</v>
      </c>
      <c r="C585" s="51"/>
      <c r="D585" s="51"/>
      <c r="E585" s="23"/>
      <c r="F585" s="23"/>
    </row>
    <row r="586" spans="2:6">
      <c r="B586" s="22" t="s">
        <v>319</v>
      </c>
      <c r="C586" s="51"/>
      <c r="D586" s="51"/>
      <c r="E586" s="52"/>
      <c r="F586" s="52"/>
    </row>
    <row r="587" spans="2:6">
      <c r="B587" s="22" t="s">
        <v>154</v>
      </c>
      <c r="C587" s="51"/>
      <c r="D587" s="51"/>
      <c r="E587" s="52"/>
      <c r="F587" s="52"/>
    </row>
    <row r="588" spans="2:6">
      <c r="B588" s="22" t="s">
        <v>155</v>
      </c>
      <c r="C588" s="51"/>
      <c r="D588" s="51"/>
      <c r="E588" s="53"/>
      <c r="F588" s="53"/>
    </row>
    <row r="589" spans="2:6">
      <c r="B589" s="51" t="s">
        <v>225</v>
      </c>
      <c r="C589" s="51"/>
      <c r="D589" s="51"/>
      <c r="E589" s="54"/>
      <c r="F589" s="53"/>
    </row>
    <row r="590" spans="2:6" ht="13.5" thickBot="1">
      <c r="B590" s="51"/>
      <c r="C590" s="51"/>
      <c r="D590" s="51"/>
      <c r="E590" s="55"/>
      <c r="F590" s="55"/>
    </row>
    <row r="591" spans="2:6" ht="13.5" thickBot="1">
      <c r="B591" s="264" t="s">
        <v>166</v>
      </c>
      <c r="C591" s="264" t="s">
        <v>178</v>
      </c>
      <c r="D591" s="264" t="s">
        <v>179</v>
      </c>
      <c r="E591" s="272" t="s">
        <v>159</v>
      </c>
      <c r="F591" s="273"/>
    </row>
    <row r="592" spans="2:6" ht="13.5" thickBot="1">
      <c r="B592" s="265"/>
      <c r="C592" s="271"/>
      <c r="D592" s="271"/>
      <c r="E592" s="56" t="s">
        <v>160</v>
      </c>
      <c r="F592" s="56" t="s">
        <v>161</v>
      </c>
    </row>
    <row r="593" spans="2:6">
      <c r="B593" s="27">
        <v>41518</v>
      </c>
      <c r="C593" s="84"/>
      <c r="D593" s="58" t="s">
        <v>162</v>
      </c>
      <c r="E593" s="59">
        <f>+'[1]MAY AGOSTO'!$E$583</f>
        <v>5981.12</v>
      </c>
      <c r="F593" s="74"/>
    </row>
    <row r="594" spans="2:6">
      <c r="B594" s="60">
        <v>41547</v>
      </c>
      <c r="C594" s="84"/>
      <c r="D594" s="36" t="s">
        <v>279</v>
      </c>
      <c r="E594" s="16">
        <f>+DIARIO!G32</f>
        <v>1200.8800000000001</v>
      </c>
      <c r="F594" s="187"/>
    </row>
    <row r="595" spans="2:6" ht="13.5" thickBot="1">
      <c r="B595" s="64"/>
      <c r="C595" s="65"/>
      <c r="D595" s="66"/>
      <c r="E595" s="63"/>
      <c r="F595" s="63"/>
    </row>
    <row r="596" spans="2:6" ht="13.5" thickBot="1">
      <c r="B596" s="55"/>
      <c r="C596" s="55"/>
      <c r="D596" s="67" t="s">
        <v>181</v>
      </c>
      <c r="E596" s="68">
        <f>SUM(E593:E595)</f>
        <v>7182</v>
      </c>
      <c r="F596" s="68">
        <f>SUM(F593:F595)</f>
        <v>0</v>
      </c>
    </row>
    <row r="597" spans="2:6">
      <c r="B597" s="55"/>
      <c r="C597" s="55"/>
      <c r="D597" s="67"/>
      <c r="E597" s="83"/>
      <c r="F597" s="83"/>
    </row>
    <row r="598" spans="2:6">
      <c r="B598" s="51" t="s">
        <v>176</v>
      </c>
      <c r="C598" s="51"/>
      <c r="D598" s="51"/>
      <c r="E598" s="23"/>
      <c r="F598" s="23"/>
    </row>
    <row r="599" spans="2:6">
      <c r="B599" s="22" t="s">
        <v>319</v>
      </c>
      <c r="C599" s="51"/>
      <c r="D599" s="51"/>
      <c r="E599" s="52"/>
      <c r="F599" s="52"/>
    </row>
    <row r="600" spans="2:6">
      <c r="B600" s="22" t="s">
        <v>154</v>
      </c>
      <c r="C600" s="51"/>
      <c r="D600" s="51"/>
      <c r="E600" s="52"/>
      <c r="F600" s="52"/>
    </row>
    <row r="601" spans="2:6">
      <c r="B601" s="22" t="s">
        <v>155</v>
      </c>
      <c r="C601" s="51"/>
      <c r="D601" s="51"/>
      <c r="E601" s="53"/>
      <c r="F601" s="53"/>
    </row>
    <row r="602" spans="2:6">
      <c r="B602" s="51" t="s">
        <v>226</v>
      </c>
      <c r="C602" s="51"/>
      <c r="D602" s="51"/>
      <c r="E602" s="54"/>
      <c r="F602" s="53"/>
    </row>
    <row r="603" spans="2:6" ht="13.5" thickBot="1">
      <c r="B603" s="51"/>
      <c r="C603" s="51"/>
      <c r="D603" s="51"/>
      <c r="E603" s="55"/>
      <c r="F603" s="55"/>
    </row>
    <row r="604" spans="2:6" ht="13.5" thickBot="1">
      <c r="B604" s="264" t="s">
        <v>166</v>
      </c>
      <c r="C604" s="264" t="s">
        <v>178</v>
      </c>
      <c r="D604" s="264" t="s">
        <v>179</v>
      </c>
      <c r="E604" s="272" t="s">
        <v>159</v>
      </c>
      <c r="F604" s="273"/>
    </row>
    <row r="605" spans="2:6" ht="13.5" thickBot="1">
      <c r="B605" s="265"/>
      <c r="C605" s="271"/>
      <c r="D605" s="271"/>
      <c r="E605" s="56" t="s">
        <v>160</v>
      </c>
      <c r="F605" s="56" t="s">
        <v>161</v>
      </c>
    </row>
    <row r="606" spans="2:6">
      <c r="B606" s="27">
        <v>41518</v>
      </c>
      <c r="C606" s="84"/>
      <c r="D606" s="58" t="s">
        <v>162</v>
      </c>
      <c r="E606" s="59">
        <f>+'[1]MAY AGOSTO'!$E$596</f>
        <v>1990.35</v>
      </c>
      <c r="F606" s="74"/>
    </row>
    <row r="607" spans="2:6" ht="15">
      <c r="B607" s="60">
        <v>41547</v>
      </c>
      <c r="C607" s="61"/>
      <c r="D607" s="36" t="s">
        <v>279</v>
      </c>
      <c r="E607" s="77">
        <f>+DIARIO!G33</f>
        <v>261.66000000000003</v>
      </c>
      <c r="F607" s="78"/>
    </row>
    <row r="608" spans="2:6" ht="13.5" thickBot="1">
      <c r="B608" s="64"/>
      <c r="C608" s="65"/>
      <c r="D608" s="66"/>
      <c r="E608" s="63"/>
      <c r="F608" s="63"/>
    </row>
    <row r="609" spans="2:6" ht="13.5" thickBot="1">
      <c r="B609" s="55"/>
      <c r="C609" s="55"/>
      <c r="D609" s="67" t="s">
        <v>181</v>
      </c>
      <c r="E609" s="68">
        <f>SUM(E606:E608)</f>
        <v>2252.0099999999998</v>
      </c>
      <c r="F609" s="68">
        <f>SUM(F606:F608)</f>
        <v>0</v>
      </c>
    </row>
    <row r="611" spans="2:6">
      <c r="B611" s="51" t="s">
        <v>176</v>
      </c>
      <c r="C611" s="51"/>
      <c r="D611" s="51"/>
      <c r="E611" s="23"/>
      <c r="F611" s="23"/>
    </row>
    <row r="612" spans="2:6">
      <c r="B612" s="22" t="s">
        <v>319</v>
      </c>
      <c r="C612" s="51"/>
      <c r="D612" s="51"/>
      <c r="E612" s="52"/>
      <c r="F612" s="52"/>
    </row>
    <row r="613" spans="2:6">
      <c r="B613" s="22" t="s">
        <v>154</v>
      </c>
      <c r="C613" s="51"/>
      <c r="D613" s="51"/>
      <c r="E613" s="52"/>
      <c r="F613" s="52"/>
    </row>
    <row r="614" spans="2:6">
      <c r="B614" s="22" t="s">
        <v>155</v>
      </c>
      <c r="C614" s="51"/>
      <c r="D614" s="51"/>
      <c r="E614" s="53"/>
      <c r="F614" s="53"/>
    </row>
    <row r="615" spans="2:6">
      <c r="B615" s="51" t="s">
        <v>227</v>
      </c>
      <c r="C615" s="51"/>
      <c r="D615" s="51"/>
      <c r="E615" s="54"/>
      <c r="F615" s="53"/>
    </row>
    <row r="616" spans="2:6" ht="13.5" thickBot="1">
      <c r="B616" s="51"/>
      <c r="C616" s="51"/>
      <c r="D616" s="51"/>
      <c r="E616" s="55"/>
      <c r="F616" s="55"/>
    </row>
    <row r="617" spans="2:6" ht="13.5" thickBot="1">
      <c r="B617" s="264" t="s">
        <v>166</v>
      </c>
      <c r="C617" s="264" t="s">
        <v>178</v>
      </c>
      <c r="D617" s="264" t="s">
        <v>179</v>
      </c>
      <c r="E617" s="272" t="s">
        <v>159</v>
      </c>
      <c r="F617" s="273"/>
    </row>
    <row r="618" spans="2:6" ht="13.5" thickBot="1">
      <c r="B618" s="265"/>
      <c r="C618" s="271"/>
      <c r="D618" s="271"/>
      <c r="E618" s="56" t="s">
        <v>160</v>
      </c>
      <c r="F618" s="56" t="s">
        <v>161</v>
      </c>
    </row>
    <row r="619" spans="2:6">
      <c r="B619" s="27">
        <v>41518</v>
      </c>
      <c r="C619" s="84"/>
      <c r="D619" s="58" t="s">
        <v>162</v>
      </c>
      <c r="E619" s="59">
        <f>+'[1]MAY AGOSTO'!$E$609</f>
        <v>34333</v>
      </c>
      <c r="F619" s="74"/>
    </row>
    <row r="620" spans="2:6">
      <c r="B620" s="60">
        <v>41547</v>
      </c>
      <c r="C620" s="84"/>
      <c r="D620" s="36" t="s">
        <v>291</v>
      </c>
      <c r="E620" s="77">
        <f>+DIARIO!G60</f>
        <v>33</v>
      </c>
      <c r="F620" s="78"/>
    </row>
    <row r="621" spans="2:6" ht="13.5" thickBot="1">
      <c r="B621" s="64"/>
      <c r="C621" s="65"/>
      <c r="D621" s="66"/>
      <c r="E621" s="63"/>
      <c r="F621" s="63"/>
    </row>
    <row r="622" spans="2:6" ht="13.5" thickBot="1">
      <c r="B622" s="55"/>
      <c r="C622" s="55"/>
      <c r="D622" s="67" t="s">
        <v>181</v>
      </c>
      <c r="E622" s="68">
        <f>SUM(E619:E621)</f>
        <v>34366</v>
      </c>
      <c r="F622" s="68">
        <f>SUM(F619:F621)</f>
        <v>0</v>
      </c>
    </row>
    <row r="624" spans="2:6">
      <c r="B624" s="51" t="s">
        <v>176</v>
      </c>
      <c r="C624" s="51"/>
      <c r="D624" s="51"/>
      <c r="E624" s="23"/>
      <c r="F624" s="23"/>
    </row>
    <row r="625" spans="1:6">
      <c r="A625" s="75"/>
      <c r="B625" s="22" t="s">
        <v>319</v>
      </c>
      <c r="C625" s="51"/>
      <c r="D625" s="51"/>
      <c r="E625" s="52"/>
      <c r="F625" s="52"/>
    </row>
    <row r="626" spans="1:6">
      <c r="B626" s="22" t="s">
        <v>154</v>
      </c>
      <c r="C626" s="51"/>
      <c r="D626" s="51"/>
      <c r="E626" s="52"/>
      <c r="F626" s="52"/>
    </row>
    <row r="627" spans="1:6">
      <c r="B627" s="22" t="s">
        <v>155</v>
      </c>
      <c r="C627" s="51"/>
      <c r="D627" s="51"/>
      <c r="E627" s="53"/>
      <c r="F627" s="53"/>
    </row>
    <row r="628" spans="1:6">
      <c r="B628" s="51" t="s">
        <v>228</v>
      </c>
      <c r="C628" s="51"/>
      <c r="D628" s="51"/>
      <c r="E628" s="54"/>
      <c r="F628" s="53"/>
    </row>
    <row r="629" spans="1:6" ht="13.5" thickBot="1">
      <c r="B629" s="51"/>
      <c r="C629" s="51"/>
      <c r="D629" s="51"/>
      <c r="E629" s="55"/>
      <c r="F629" s="55"/>
    </row>
    <row r="630" spans="1:6" ht="13.5" thickBot="1">
      <c r="B630" s="264" t="s">
        <v>166</v>
      </c>
      <c r="C630" s="264" t="s">
        <v>178</v>
      </c>
      <c r="D630" s="264" t="s">
        <v>179</v>
      </c>
      <c r="E630" s="272" t="s">
        <v>159</v>
      </c>
      <c r="F630" s="273"/>
    </row>
    <row r="631" spans="1:6" ht="13.5" thickBot="1">
      <c r="B631" s="265"/>
      <c r="C631" s="271"/>
      <c r="D631" s="271"/>
      <c r="E631" s="56" t="s">
        <v>160</v>
      </c>
      <c r="F631" s="56" t="s">
        <v>161</v>
      </c>
    </row>
    <row r="632" spans="1:6">
      <c r="B632" s="27">
        <v>41518</v>
      </c>
      <c r="C632" s="84"/>
      <c r="D632" s="58" t="s">
        <v>162</v>
      </c>
      <c r="E632" s="59">
        <f>+'[1]MAY AGOSTO'!$E$622</f>
        <v>154438.6</v>
      </c>
      <c r="F632" s="74"/>
    </row>
    <row r="633" spans="1:6">
      <c r="B633" s="60">
        <v>41547</v>
      </c>
      <c r="C633" s="26"/>
      <c r="D633" s="36" t="s">
        <v>279</v>
      </c>
      <c r="E633" s="16">
        <f>+DIARIO!G34</f>
        <v>28730.47</v>
      </c>
      <c r="F633" s="62"/>
    </row>
    <row r="634" spans="1:6" ht="13.5" thickBot="1">
      <c r="B634" s="64"/>
      <c r="C634" s="65"/>
      <c r="D634" s="66"/>
      <c r="E634" s="63"/>
      <c r="F634" s="63"/>
    </row>
    <row r="635" spans="1:6" ht="13.5" thickBot="1">
      <c r="B635" s="55"/>
      <c r="C635" s="55"/>
      <c r="D635" s="67" t="s">
        <v>181</v>
      </c>
      <c r="E635" s="68">
        <f>SUM(E632:E634)</f>
        <v>183169.07</v>
      </c>
      <c r="F635" s="68">
        <f>SUM(F632:F634)</f>
        <v>0</v>
      </c>
    </row>
    <row r="638" spans="1:6">
      <c r="B638" s="51" t="s">
        <v>176</v>
      </c>
      <c r="C638" s="51"/>
      <c r="D638" s="51"/>
      <c r="E638" s="23"/>
      <c r="F638" s="23"/>
    </row>
    <row r="639" spans="1:6">
      <c r="B639" s="22" t="s">
        <v>319</v>
      </c>
      <c r="C639" s="51"/>
      <c r="D639" s="51"/>
      <c r="E639" s="52"/>
      <c r="F639" s="52"/>
    </row>
    <row r="640" spans="1:6">
      <c r="B640" s="22" t="s">
        <v>154</v>
      </c>
      <c r="C640" s="51"/>
      <c r="D640" s="51"/>
      <c r="E640" s="52"/>
      <c r="F640" s="52"/>
    </row>
    <row r="641" spans="1:6">
      <c r="B641" s="22" t="s">
        <v>155</v>
      </c>
      <c r="C641" s="51"/>
      <c r="D641" s="51"/>
      <c r="E641" s="53"/>
      <c r="F641" s="53"/>
    </row>
    <row r="642" spans="1:6">
      <c r="B642" s="51" t="s">
        <v>229</v>
      </c>
      <c r="C642" s="51"/>
      <c r="D642" s="51"/>
      <c r="E642" s="54"/>
      <c r="F642" s="53"/>
    </row>
    <row r="643" spans="1:6" ht="13.5" thickBot="1">
      <c r="B643" s="51"/>
      <c r="C643" s="51"/>
      <c r="D643" s="51"/>
      <c r="E643" s="55"/>
      <c r="F643" s="55"/>
    </row>
    <row r="644" spans="1:6" ht="13.5" thickBot="1">
      <c r="B644" s="264" t="s">
        <v>166</v>
      </c>
      <c r="C644" s="264" t="s">
        <v>178</v>
      </c>
      <c r="D644" s="264" t="s">
        <v>179</v>
      </c>
      <c r="E644" s="272" t="s">
        <v>159</v>
      </c>
      <c r="F644" s="273"/>
    </row>
    <row r="645" spans="1:6" ht="13.5" thickBot="1">
      <c r="B645" s="265"/>
      <c r="C645" s="271"/>
      <c r="D645" s="271"/>
      <c r="E645" s="56" t="s">
        <v>160</v>
      </c>
      <c r="F645" s="56" t="s">
        <v>161</v>
      </c>
    </row>
    <row r="646" spans="1:6">
      <c r="B646" s="27">
        <v>41518</v>
      </c>
      <c r="C646" s="84"/>
      <c r="D646" s="58" t="s">
        <v>162</v>
      </c>
      <c r="E646" s="59">
        <f>+'[1]MAY AGOSTO'!$E$636</f>
        <v>56170.579290000001</v>
      </c>
      <c r="F646" s="74"/>
    </row>
    <row r="647" spans="1:6">
      <c r="B647" s="60">
        <v>41547</v>
      </c>
      <c r="C647" s="36"/>
      <c r="D647" s="36" t="s">
        <v>187</v>
      </c>
      <c r="E647" s="85">
        <f>+DIARIO!G23</f>
        <v>8544.02</v>
      </c>
      <c r="F647" s="62"/>
    </row>
    <row r="648" spans="1:6" ht="13.5" thickBot="1">
      <c r="B648" s="64"/>
      <c r="C648" s="65"/>
      <c r="D648" s="66"/>
      <c r="E648" s="63"/>
      <c r="F648" s="63"/>
    </row>
    <row r="649" spans="1:6" ht="13.5" thickBot="1">
      <c r="B649" s="55"/>
      <c r="C649" s="55"/>
      <c r="D649" s="67" t="s">
        <v>181</v>
      </c>
      <c r="E649" s="68">
        <f>SUM(E646:E648)</f>
        <v>64714.599289999998</v>
      </c>
      <c r="F649" s="68">
        <f>SUM(F646:F648)</f>
        <v>0</v>
      </c>
    </row>
    <row r="651" spans="1:6">
      <c r="B651" s="51" t="s">
        <v>176</v>
      </c>
      <c r="C651" s="51"/>
      <c r="D651" s="51"/>
      <c r="E651" s="23"/>
      <c r="F651" s="23"/>
    </row>
    <row r="652" spans="1:6">
      <c r="A652" s="75"/>
      <c r="B652" s="22" t="s">
        <v>319</v>
      </c>
      <c r="C652" s="51"/>
      <c r="D652" s="51"/>
      <c r="E652" s="52"/>
      <c r="F652" s="52"/>
    </row>
    <row r="653" spans="1:6">
      <c r="B653" s="22" t="s">
        <v>154</v>
      </c>
      <c r="C653" s="51"/>
      <c r="D653" s="51"/>
      <c r="E653" s="52"/>
      <c r="F653" s="52"/>
    </row>
    <row r="654" spans="1:6">
      <c r="B654" s="22" t="s">
        <v>155</v>
      </c>
      <c r="C654" s="51"/>
      <c r="D654" s="51"/>
      <c r="E654" s="53"/>
      <c r="F654" s="53"/>
    </row>
    <row r="655" spans="1:6">
      <c r="B655" s="51" t="s">
        <v>230</v>
      </c>
      <c r="C655" s="51"/>
      <c r="D655" s="51"/>
      <c r="E655" s="54"/>
      <c r="F655" s="53"/>
    </row>
    <row r="656" spans="1:6" ht="13.5" thickBot="1">
      <c r="B656" s="51"/>
      <c r="C656" s="51"/>
      <c r="D656" s="51"/>
      <c r="E656" s="55"/>
      <c r="F656" s="55"/>
    </row>
    <row r="657" spans="2:6" ht="13.5" thickBot="1">
      <c r="B657" s="264" t="s">
        <v>166</v>
      </c>
      <c r="C657" s="264" t="s">
        <v>178</v>
      </c>
      <c r="D657" s="264" t="s">
        <v>179</v>
      </c>
      <c r="E657" s="272" t="s">
        <v>159</v>
      </c>
      <c r="F657" s="273"/>
    </row>
    <row r="658" spans="2:6" ht="13.5" thickBot="1">
      <c r="B658" s="265"/>
      <c r="C658" s="271"/>
      <c r="D658" s="271"/>
      <c r="E658" s="56" t="s">
        <v>160</v>
      </c>
      <c r="F658" s="56" t="s">
        <v>161</v>
      </c>
    </row>
    <row r="659" spans="2:6">
      <c r="B659" s="27">
        <v>41518</v>
      </c>
      <c r="C659" s="84"/>
      <c r="D659" s="58" t="s">
        <v>162</v>
      </c>
      <c r="E659" s="59"/>
      <c r="F659" s="74">
        <f>+'[1]MAY AGOSTO'!$F$649</f>
        <v>3200839.5600000005</v>
      </c>
    </row>
    <row r="660" spans="2:6">
      <c r="B660" s="60">
        <v>41547</v>
      </c>
      <c r="C660" s="36"/>
      <c r="D660" s="36" t="s">
        <v>183</v>
      </c>
      <c r="E660" s="85"/>
      <c r="F660" s="62">
        <f>+DIARIO!H12</f>
        <v>105415.98</v>
      </c>
    </row>
    <row r="661" spans="2:6" ht="13.5" thickBot="1">
      <c r="B661" s="64"/>
      <c r="C661" s="65"/>
      <c r="D661" s="66"/>
      <c r="E661" s="63"/>
      <c r="F661" s="63"/>
    </row>
    <row r="662" spans="2:6" ht="13.5" thickBot="1">
      <c r="B662" s="55"/>
      <c r="C662" s="55"/>
      <c r="D662" s="67" t="s">
        <v>181</v>
      </c>
      <c r="E662" s="68">
        <f>SUM(E659:E661)</f>
        <v>0</v>
      </c>
      <c r="F662" s="68">
        <f>SUM(F659:F661)</f>
        <v>3306255.5400000005</v>
      </c>
    </row>
    <row r="664" spans="2:6">
      <c r="B664" s="51" t="s">
        <v>176</v>
      </c>
      <c r="C664" s="51"/>
      <c r="D664" s="51"/>
      <c r="E664" s="23"/>
      <c r="F664" s="23"/>
    </row>
    <row r="665" spans="2:6">
      <c r="B665" s="22" t="s">
        <v>319</v>
      </c>
      <c r="C665" s="51"/>
      <c r="D665" s="51"/>
      <c r="E665" s="52"/>
      <c r="F665" s="52"/>
    </row>
    <row r="666" spans="2:6">
      <c r="B666" s="22" t="s">
        <v>154</v>
      </c>
      <c r="C666" s="51"/>
      <c r="D666" s="51"/>
      <c r="E666" s="52"/>
      <c r="F666" s="52"/>
    </row>
    <row r="667" spans="2:6">
      <c r="B667" s="22" t="s">
        <v>155</v>
      </c>
      <c r="C667" s="51"/>
      <c r="D667" s="51"/>
      <c r="E667" s="53"/>
      <c r="F667" s="53"/>
    </row>
    <row r="668" spans="2:6">
      <c r="B668" s="51" t="s">
        <v>231</v>
      </c>
      <c r="C668" s="51"/>
      <c r="D668" s="51"/>
      <c r="E668" s="54"/>
      <c r="F668" s="53"/>
    </row>
    <row r="669" spans="2:6" ht="13.5" thickBot="1">
      <c r="B669" s="51"/>
      <c r="C669" s="51"/>
      <c r="D669" s="51"/>
      <c r="E669" s="55"/>
      <c r="F669" s="55"/>
    </row>
    <row r="670" spans="2:6" ht="13.5" thickBot="1">
      <c r="B670" s="264" t="s">
        <v>166</v>
      </c>
      <c r="C670" s="264" t="s">
        <v>178</v>
      </c>
      <c r="D670" s="264" t="s">
        <v>179</v>
      </c>
      <c r="E670" s="272" t="s">
        <v>159</v>
      </c>
      <c r="F670" s="273"/>
    </row>
    <row r="671" spans="2:6" ht="13.5" thickBot="1">
      <c r="B671" s="265"/>
      <c r="C671" s="271"/>
      <c r="D671" s="271"/>
      <c r="E671" s="56" t="s">
        <v>160</v>
      </c>
      <c r="F671" s="56" t="s">
        <v>161</v>
      </c>
    </row>
    <row r="672" spans="2:6">
      <c r="B672" s="27">
        <v>41518</v>
      </c>
      <c r="C672" s="84"/>
      <c r="D672" s="58" t="s">
        <v>162</v>
      </c>
      <c r="E672" s="59"/>
      <c r="F672" s="74">
        <f>+'[1]MAY AGOSTO'!$F$664</f>
        <v>425789.53320000001</v>
      </c>
    </row>
    <row r="673" spans="2:6">
      <c r="B673" s="60">
        <v>41547</v>
      </c>
      <c r="C673" s="36"/>
      <c r="D673" s="36" t="s">
        <v>232</v>
      </c>
      <c r="E673" s="59"/>
      <c r="F673" s="81">
        <f>+DIARIO!H41</f>
        <v>47702.5</v>
      </c>
    </row>
    <row r="674" spans="2:6">
      <c r="B674" s="60">
        <v>41547</v>
      </c>
      <c r="C674" s="26"/>
      <c r="D674" s="36" t="s">
        <v>232</v>
      </c>
      <c r="E674" s="16"/>
      <c r="F674" s="62">
        <f>+DIARIO!H50</f>
        <v>12807.57</v>
      </c>
    </row>
    <row r="675" spans="2:6">
      <c r="B675" s="60">
        <v>41547</v>
      </c>
      <c r="C675" s="26"/>
      <c r="D675" s="36" t="s">
        <v>232</v>
      </c>
      <c r="E675" s="85"/>
      <c r="F675" s="62">
        <f>+DIARIO!H63</f>
        <v>33</v>
      </c>
    </row>
    <row r="676" spans="2:6" ht="13.5" thickBot="1">
      <c r="B676" s="64"/>
      <c r="C676" s="65"/>
      <c r="D676" s="66"/>
      <c r="E676" s="63"/>
      <c r="F676" s="63"/>
    </row>
    <row r="677" spans="2:6" ht="13.5" thickBot="1">
      <c r="B677" s="55"/>
      <c r="C677" s="55"/>
      <c r="D677" s="67" t="s">
        <v>181</v>
      </c>
      <c r="E677" s="68">
        <f>SUM(E672:E676)</f>
        <v>0</v>
      </c>
      <c r="F677" s="68">
        <f>SUM(F672:F676)</f>
        <v>486332.60320000001</v>
      </c>
    </row>
    <row r="679" spans="2:6">
      <c r="B679" s="51" t="s">
        <v>176</v>
      </c>
      <c r="C679" s="51"/>
      <c r="D679" s="51"/>
      <c r="E679" s="23"/>
      <c r="F679" s="23"/>
    </row>
    <row r="680" spans="2:6">
      <c r="B680" s="22" t="s">
        <v>319</v>
      </c>
      <c r="C680" s="51"/>
      <c r="D680" s="51"/>
      <c r="E680" s="52"/>
      <c r="F680" s="52"/>
    </row>
    <row r="681" spans="2:6">
      <c r="B681" s="22" t="s">
        <v>154</v>
      </c>
      <c r="C681" s="51"/>
      <c r="D681" s="51"/>
      <c r="E681" s="52"/>
      <c r="F681" s="52"/>
    </row>
    <row r="682" spans="2:6">
      <c r="B682" s="22" t="s">
        <v>155</v>
      </c>
      <c r="C682" s="51"/>
      <c r="D682" s="51"/>
      <c r="E682" s="53"/>
      <c r="F682" s="53"/>
    </row>
    <row r="683" spans="2:6">
      <c r="B683" s="51" t="s">
        <v>233</v>
      </c>
      <c r="C683" s="51"/>
      <c r="D683" s="51"/>
      <c r="E683" s="54"/>
      <c r="F683" s="53"/>
    </row>
    <row r="684" spans="2:6" ht="13.5" thickBot="1">
      <c r="B684" s="51"/>
      <c r="C684" s="51"/>
      <c r="D684" s="51"/>
      <c r="E684" s="55"/>
      <c r="F684" s="55"/>
    </row>
    <row r="685" spans="2:6" ht="13.5" thickBot="1">
      <c r="B685" s="264" t="s">
        <v>166</v>
      </c>
      <c r="C685" s="264" t="s">
        <v>178</v>
      </c>
      <c r="D685" s="264" t="s">
        <v>179</v>
      </c>
      <c r="E685" s="272" t="s">
        <v>159</v>
      </c>
      <c r="F685" s="273"/>
    </row>
    <row r="686" spans="2:6" ht="13.5" thickBot="1">
      <c r="B686" s="265"/>
      <c r="C686" s="271"/>
      <c r="D686" s="271"/>
      <c r="E686" s="56" t="s">
        <v>160</v>
      </c>
      <c r="F686" s="56" t="s">
        <v>161</v>
      </c>
    </row>
    <row r="687" spans="2:6">
      <c r="B687" s="27">
        <v>41518</v>
      </c>
      <c r="C687" s="84"/>
      <c r="D687" s="58" t="s">
        <v>162</v>
      </c>
      <c r="E687" s="59">
        <f>+'[1]MAY AGOSTO'!$E$679</f>
        <v>425789.53320000001</v>
      </c>
      <c r="F687" s="74"/>
    </row>
    <row r="688" spans="2:6">
      <c r="B688" s="60">
        <v>41547</v>
      </c>
      <c r="C688" s="40"/>
      <c r="D688" s="36" t="s">
        <v>232</v>
      </c>
      <c r="E688" s="16">
        <f>+DIARIO!G40</f>
        <v>47702.5</v>
      </c>
      <c r="F688" s="62"/>
    </row>
    <row r="689" spans="1:11">
      <c r="B689" s="60">
        <v>41547</v>
      </c>
      <c r="C689" s="40"/>
      <c r="D689" s="36" t="s">
        <v>232</v>
      </c>
      <c r="E689" s="85">
        <f>+DIARIO!G49</f>
        <v>12807.57</v>
      </c>
      <c r="F689" s="62"/>
    </row>
    <row r="690" spans="1:11">
      <c r="B690" s="60">
        <v>41547</v>
      </c>
      <c r="C690" s="40"/>
      <c r="D690" s="36" t="s">
        <v>232</v>
      </c>
      <c r="E690" s="82">
        <f>+DIARIO!G62</f>
        <v>33</v>
      </c>
      <c r="F690" s="63"/>
    </row>
    <row r="691" spans="1:11" ht="13.5" thickBot="1">
      <c r="B691" s="84"/>
      <c r="C691" s="65"/>
      <c r="D691" s="66"/>
      <c r="E691" s="63"/>
      <c r="F691" s="63"/>
    </row>
    <row r="692" spans="1:11" ht="13.5" thickBot="1">
      <c r="B692" s="55"/>
      <c r="C692" s="55"/>
      <c r="D692" s="67" t="s">
        <v>181</v>
      </c>
      <c r="E692" s="68">
        <f>SUM(E687:E691)</f>
        <v>486332.60320000001</v>
      </c>
      <c r="F692" s="68">
        <f>SUM(F687:F691)</f>
        <v>0</v>
      </c>
    </row>
    <row r="696" spans="1:11" ht="15">
      <c r="B696" s="72"/>
      <c r="C696" s="72"/>
      <c r="D696" s="72"/>
      <c r="E696" s="72"/>
      <c r="F696" s="72"/>
    </row>
    <row r="697" spans="1:11">
      <c r="E697" s="89">
        <f>SUBTOTAL(9,E12:E695)</f>
        <v>48299653.865882412</v>
      </c>
      <c r="F697" s="89">
        <f>SUBTOTAL(9,F12:F695)</f>
        <v>48299653.871383615</v>
      </c>
      <c r="G697" s="80">
        <f>+E697-F697</f>
        <v>-5.5012032389640808E-3</v>
      </c>
    </row>
    <row r="698" spans="1:11">
      <c r="G698">
        <f>+E698-F698</f>
        <v>0</v>
      </c>
    </row>
    <row r="699" spans="1:11">
      <c r="F699" s="89"/>
    </row>
    <row r="700" spans="1:11" s="69" customFormat="1">
      <c r="A700"/>
      <c r="E700" s="90"/>
      <c r="G700"/>
      <c r="H700"/>
      <c r="I700"/>
      <c r="J700"/>
      <c r="K700"/>
    </row>
  </sheetData>
  <autoFilter ref="B4:F692"/>
  <mergeCells count="212">
    <mergeCell ref="B685:B686"/>
    <mergeCell ref="C685:C686"/>
    <mergeCell ref="D685:D686"/>
    <mergeCell ref="E685:F685"/>
    <mergeCell ref="B657:B658"/>
    <mergeCell ref="C657:C658"/>
    <mergeCell ref="D657:D658"/>
    <mergeCell ref="E657:F657"/>
    <mergeCell ref="B670:B671"/>
    <mergeCell ref="C670:C671"/>
    <mergeCell ref="D670:D671"/>
    <mergeCell ref="E670:F670"/>
    <mergeCell ref="B630:B631"/>
    <mergeCell ref="C630:C631"/>
    <mergeCell ref="D630:D631"/>
    <mergeCell ref="E630:F630"/>
    <mergeCell ref="B644:B645"/>
    <mergeCell ref="C644:C645"/>
    <mergeCell ref="D644:D645"/>
    <mergeCell ref="E644:F644"/>
    <mergeCell ref="B604:B605"/>
    <mergeCell ref="C604:C605"/>
    <mergeCell ref="D604:D605"/>
    <mergeCell ref="E604:F604"/>
    <mergeCell ref="B617:B618"/>
    <mergeCell ref="C617:C618"/>
    <mergeCell ref="D617:D618"/>
    <mergeCell ref="E617:F617"/>
    <mergeCell ref="B579:B580"/>
    <mergeCell ref="C579:C580"/>
    <mergeCell ref="D579:D580"/>
    <mergeCell ref="E579:F579"/>
    <mergeCell ref="B591:B592"/>
    <mergeCell ref="C591:C592"/>
    <mergeCell ref="D591:D592"/>
    <mergeCell ref="E591:F591"/>
    <mergeCell ref="B553:B554"/>
    <mergeCell ref="C553:C554"/>
    <mergeCell ref="D553:D554"/>
    <mergeCell ref="E553:F553"/>
    <mergeCell ref="B566:B567"/>
    <mergeCell ref="C566:C567"/>
    <mergeCell ref="D566:D567"/>
    <mergeCell ref="E566:F566"/>
    <mergeCell ref="B528:B529"/>
    <mergeCell ref="C528:C529"/>
    <mergeCell ref="D528:D529"/>
    <mergeCell ref="E528:F528"/>
    <mergeCell ref="B541:B542"/>
    <mergeCell ref="C541:C542"/>
    <mergeCell ref="D541:D542"/>
    <mergeCell ref="E541:F541"/>
    <mergeCell ref="B502:B503"/>
    <mergeCell ref="C502:C503"/>
    <mergeCell ref="D502:D503"/>
    <mergeCell ref="E502:F502"/>
    <mergeCell ref="B515:B516"/>
    <mergeCell ref="C515:C516"/>
    <mergeCell ref="D515:D516"/>
    <mergeCell ref="E515:F515"/>
    <mergeCell ref="B477:B478"/>
    <mergeCell ref="C477:C478"/>
    <mergeCell ref="D477:D478"/>
    <mergeCell ref="E477:F477"/>
    <mergeCell ref="B489:B490"/>
    <mergeCell ref="C489:C490"/>
    <mergeCell ref="D489:D490"/>
    <mergeCell ref="E489:F489"/>
    <mergeCell ref="B452:B453"/>
    <mergeCell ref="C452:C453"/>
    <mergeCell ref="D452:D453"/>
    <mergeCell ref="E452:F452"/>
    <mergeCell ref="B465:B466"/>
    <mergeCell ref="C465:C466"/>
    <mergeCell ref="D465:D466"/>
    <mergeCell ref="E465:F465"/>
    <mergeCell ref="B426:B427"/>
    <mergeCell ref="C426:C427"/>
    <mergeCell ref="D426:D427"/>
    <mergeCell ref="E426:F426"/>
    <mergeCell ref="B439:B440"/>
    <mergeCell ref="C439:C440"/>
    <mergeCell ref="D439:D440"/>
    <mergeCell ref="E439:F439"/>
    <mergeCell ref="B402:B403"/>
    <mergeCell ref="C402:C403"/>
    <mergeCell ref="D402:D403"/>
    <mergeCell ref="E402:F402"/>
    <mergeCell ref="B414:B415"/>
    <mergeCell ref="C414:C415"/>
    <mergeCell ref="D414:D415"/>
    <mergeCell ref="E414:F414"/>
    <mergeCell ref="B378:B379"/>
    <mergeCell ref="C378:C379"/>
    <mergeCell ref="D378:D379"/>
    <mergeCell ref="E378:F378"/>
    <mergeCell ref="B390:B391"/>
    <mergeCell ref="C390:C391"/>
    <mergeCell ref="D390:D391"/>
    <mergeCell ref="E390:F390"/>
    <mergeCell ref="B350:B351"/>
    <mergeCell ref="C350:C351"/>
    <mergeCell ref="D350:D351"/>
    <mergeCell ref="E350:F350"/>
    <mergeCell ref="B364:B365"/>
    <mergeCell ref="C364:C365"/>
    <mergeCell ref="D364:D365"/>
    <mergeCell ref="E364:F364"/>
    <mergeCell ref="B326:B327"/>
    <mergeCell ref="C326:C327"/>
    <mergeCell ref="D326:D327"/>
    <mergeCell ref="E326:F326"/>
    <mergeCell ref="B338:B339"/>
    <mergeCell ref="C338:C339"/>
    <mergeCell ref="D338:D339"/>
    <mergeCell ref="E338:F338"/>
    <mergeCell ref="B300:B301"/>
    <mergeCell ref="C300:C301"/>
    <mergeCell ref="D300:D301"/>
    <mergeCell ref="E300:F300"/>
    <mergeCell ref="B314:B315"/>
    <mergeCell ref="C314:C315"/>
    <mergeCell ref="D314:D315"/>
    <mergeCell ref="E314:F314"/>
    <mergeCell ref="B272:B273"/>
    <mergeCell ref="C272:C273"/>
    <mergeCell ref="D272:D273"/>
    <mergeCell ref="E272:F272"/>
    <mergeCell ref="B286:B287"/>
    <mergeCell ref="C286:C287"/>
    <mergeCell ref="D286:D287"/>
    <mergeCell ref="E286:F286"/>
    <mergeCell ref="B245:B246"/>
    <mergeCell ref="C245:C246"/>
    <mergeCell ref="D245:D246"/>
    <mergeCell ref="E245:F245"/>
    <mergeCell ref="B258:B259"/>
    <mergeCell ref="C258:C259"/>
    <mergeCell ref="D258:D259"/>
    <mergeCell ref="E258:F258"/>
    <mergeCell ref="B218:B219"/>
    <mergeCell ref="C218:C219"/>
    <mergeCell ref="D218:D219"/>
    <mergeCell ref="E218:F218"/>
    <mergeCell ref="B232:B233"/>
    <mergeCell ref="C232:C233"/>
    <mergeCell ref="D232:D233"/>
    <mergeCell ref="E232:F232"/>
    <mergeCell ref="B190:B191"/>
    <mergeCell ref="C190:C191"/>
    <mergeCell ref="D190:D191"/>
    <mergeCell ref="E190:F190"/>
    <mergeCell ref="B203:B204"/>
    <mergeCell ref="C203:C204"/>
    <mergeCell ref="D203:D204"/>
    <mergeCell ref="E203:F203"/>
    <mergeCell ref="B163:B164"/>
    <mergeCell ref="C163:C164"/>
    <mergeCell ref="D163:D164"/>
    <mergeCell ref="E163:F163"/>
    <mergeCell ref="B175:B176"/>
    <mergeCell ref="C175:C176"/>
    <mergeCell ref="D175:D176"/>
    <mergeCell ref="E175:F175"/>
    <mergeCell ref="B137:B138"/>
    <mergeCell ref="C137:C138"/>
    <mergeCell ref="D137:D138"/>
    <mergeCell ref="E137:F137"/>
    <mergeCell ref="B149:B150"/>
    <mergeCell ref="C149:C150"/>
    <mergeCell ref="D149:D150"/>
    <mergeCell ref="E149:F149"/>
    <mergeCell ref="B112:B113"/>
    <mergeCell ref="C112:C113"/>
    <mergeCell ref="D112:D113"/>
    <mergeCell ref="E112:F112"/>
    <mergeCell ref="B124:B125"/>
    <mergeCell ref="C124:C125"/>
    <mergeCell ref="D124:D125"/>
    <mergeCell ref="E124:F124"/>
    <mergeCell ref="B88:B89"/>
    <mergeCell ref="C88:C89"/>
    <mergeCell ref="D88:D89"/>
    <mergeCell ref="E88:F88"/>
    <mergeCell ref="B100:B101"/>
    <mergeCell ref="C100:C101"/>
    <mergeCell ref="D100:D101"/>
    <mergeCell ref="E100:F100"/>
    <mergeCell ref="B63:B64"/>
    <mergeCell ref="C63:C64"/>
    <mergeCell ref="D63:D64"/>
    <mergeCell ref="E63:F63"/>
    <mergeCell ref="B75:B76"/>
    <mergeCell ref="C75:C76"/>
    <mergeCell ref="D75:D76"/>
    <mergeCell ref="E75:F75"/>
    <mergeCell ref="B39:B40"/>
    <mergeCell ref="C39:C40"/>
    <mergeCell ref="D39:D40"/>
    <mergeCell ref="E39:F39"/>
    <mergeCell ref="B51:B52"/>
    <mergeCell ref="C51:C52"/>
    <mergeCell ref="D51:D52"/>
    <mergeCell ref="E51:F51"/>
    <mergeCell ref="B10:B11"/>
    <mergeCell ref="C10:C11"/>
    <mergeCell ref="D10:D11"/>
    <mergeCell ref="E10:F10"/>
    <mergeCell ref="B24:B25"/>
    <mergeCell ref="C24:C25"/>
    <mergeCell ref="D24:D25"/>
    <mergeCell ref="E24:F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R91"/>
  <sheetViews>
    <sheetView workbookViewId="0">
      <selection activeCell="I12" sqref="I12"/>
    </sheetView>
  </sheetViews>
  <sheetFormatPr baseColWidth="10" defaultRowHeight="12.75"/>
  <cols>
    <col min="3" max="3" width="11.7109375" bestFit="1" customWidth="1"/>
    <col min="7" max="7" width="2.5703125" customWidth="1"/>
    <col min="10" max="10" width="3.140625" customWidth="1"/>
  </cols>
  <sheetData>
    <row r="3" spans="1:16" ht="13.5" thickBot="1">
      <c r="A3" s="193" t="s">
        <v>359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16" ht="13.5" thickBot="1">
      <c r="A4" s="195" t="s">
        <v>295</v>
      </c>
      <c r="B4" s="196"/>
      <c r="C4" s="276" t="s">
        <v>296</v>
      </c>
      <c r="D4" s="277"/>
      <c r="E4" s="276" t="s">
        <v>287</v>
      </c>
      <c r="F4" s="278"/>
      <c r="G4" s="196"/>
      <c r="H4" s="276" t="s">
        <v>297</v>
      </c>
      <c r="I4" s="277"/>
      <c r="J4" s="196"/>
      <c r="K4" s="278" t="s">
        <v>298</v>
      </c>
      <c r="L4" s="277"/>
      <c r="M4" s="276" t="s">
        <v>299</v>
      </c>
      <c r="N4" s="277"/>
      <c r="O4" s="276" t="s">
        <v>300</v>
      </c>
      <c r="P4" s="277"/>
    </row>
    <row r="5" spans="1:16" ht="13.5" thickBot="1">
      <c r="A5" s="199" t="s">
        <v>301</v>
      </c>
      <c r="B5" s="200" t="s">
        <v>302</v>
      </c>
      <c r="C5" s="201" t="s">
        <v>303</v>
      </c>
      <c r="D5" s="197" t="s">
        <v>173</v>
      </c>
      <c r="E5" s="201" t="s">
        <v>160</v>
      </c>
      <c r="F5" s="198" t="s">
        <v>161</v>
      </c>
      <c r="G5" s="202"/>
      <c r="H5" s="201" t="s">
        <v>304</v>
      </c>
      <c r="I5" s="197" t="s">
        <v>161</v>
      </c>
      <c r="J5" s="203"/>
      <c r="K5" s="201" t="s">
        <v>305</v>
      </c>
      <c r="L5" s="198" t="s">
        <v>306</v>
      </c>
      <c r="M5" s="201" t="s">
        <v>307</v>
      </c>
      <c r="N5" s="197" t="s">
        <v>308</v>
      </c>
      <c r="O5" s="201" t="s">
        <v>309</v>
      </c>
      <c r="P5" s="197" t="s">
        <v>308</v>
      </c>
    </row>
    <row r="6" spans="1:16">
      <c r="A6" s="204">
        <v>1011</v>
      </c>
      <c r="B6" s="205"/>
      <c r="C6" s="206">
        <f>+'MAY SETIEMBRE'!E16</f>
        <v>4895806.3413947094</v>
      </c>
      <c r="D6" s="206">
        <f>+'MAY SETIEMBRE'!F16</f>
        <v>4822076.7856680006</v>
      </c>
      <c r="E6" s="206">
        <f>+C6-D6</f>
        <v>73729.555726708844</v>
      </c>
      <c r="F6" s="206"/>
      <c r="G6" s="207"/>
      <c r="H6" s="206"/>
      <c r="I6" s="206"/>
      <c r="J6" s="207"/>
      <c r="K6" s="206">
        <f>+E6</f>
        <v>73729.555726708844</v>
      </c>
      <c r="L6" s="206"/>
      <c r="M6" s="206"/>
      <c r="N6" s="206"/>
      <c r="O6" s="206"/>
      <c r="P6" s="208"/>
    </row>
    <row r="7" spans="1:16">
      <c r="A7" s="209">
        <v>1212</v>
      </c>
      <c r="B7" s="210"/>
      <c r="C7" s="211">
        <f>+'MAY SETIEMBRE'!E31</f>
        <v>3887318.4899999998</v>
      </c>
      <c r="D7" s="211">
        <f>+'MAY SETIEMBRE'!F31</f>
        <v>3887318.4899999998</v>
      </c>
      <c r="E7" s="206">
        <f>+C7-D7</f>
        <v>0</v>
      </c>
      <c r="F7" s="211"/>
      <c r="G7" s="212"/>
      <c r="H7" s="211"/>
      <c r="I7" s="211"/>
      <c r="J7" s="212"/>
      <c r="K7" s="211">
        <f>+E7</f>
        <v>0</v>
      </c>
      <c r="L7" s="211"/>
      <c r="M7" s="211"/>
      <c r="N7" s="211"/>
      <c r="O7" s="211"/>
      <c r="P7" s="208"/>
    </row>
    <row r="8" spans="1:16">
      <c r="A8" s="209">
        <v>1413</v>
      </c>
      <c r="B8" s="210"/>
      <c r="C8" s="211">
        <f>+'MAY SETIEMBRE'!E43</f>
        <v>659724.41</v>
      </c>
      <c r="D8" s="211"/>
      <c r="E8" s="211">
        <f>+C8-D8</f>
        <v>659724.41</v>
      </c>
      <c r="F8" s="211"/>
      <c r="G8" s="212"/>
      <c r="H8" s="211"/>
      <c r="I8" s="211"/>
      <c r="J8" s="212"/>
      <c r="K8" s="211">
        <f>+E8</f>
        <v>659724.41</v>
      </c>
      <c r="L8" s="213"/>
      <c r="M8" s="211"/>
      <c r="N8" s="211"/>
      <c r="O8" s="211"/>
      <c r="P8" s="208"/>
    </row>
    <row r="9" spans="1:16">
      <c r="A9" s="209">
        <v>1422</v>
      </c>
      <c r="B9" s="210"/>
      <c r="C9" s="211">
        <f>+'MAY SETIEMBRE'!E55</f>
        <v>57453.8</v>
      </c>
      <c r="D9" s="211"/>
      <c r="E9" s="211">
        <f>+C9</f>
        <v>57453.8</v>
      </c>
      <c r="F9" s="211"/>
      <c r="G9" s="212"/>
      <c r="H9" s="211"/>
      <c r="I9" s="211"/>
      <c r="J9" s="212"/>
      <c r="K9" s="211">
        <f>+E9</f>
        <v>57453.8</v>
      </c>
      <c r="L9" s="213"/>
      <c r="M9" s="211"/>
      <c r="N9" s="211"/>
      <c r="O9" s="211"/>
      <c r="P9" s="208"/>
    </row>
    <row r="10" spans="1:16">
      <c r="A10" s="209">
        <v>1612</v>
      </c>
      <c r="B10" s="210"/>
      <c r="C10" s="211">
        <f>+'MAY SETIEMBRE'!E67</f>
        <v>286733.11499999999</v>
      </c>
      <c r="D10" s="211"/>
      <c r="E10" s="211">
        <f>+C10</f>
        <v>286733.11499999999</v>
      </c>
      <c r="F10" s="211"/>
      <c r="G10" s="212"/>
      <c r="H10" s="211"/>
      <c r="I10" s="211"/>
      <c r="J10" s="212"/>
      <c r="K10" s="211">
        <f>+E10</f>
        <v>286733.11499999999</v>
      </c>
      <c r="L10" s="213"/>
      <c r="M10" s="211"/>
      <c r="N10" s="211"/>
      <c r="O10" s="211"/>
      <c r="P10" s="208"/>
    </row>
    <row r="11" spans="1:16">
      <c r="A11" s="209">
        <v>2011</v>
      </c>
      <c r="B11" s="210"/>
      <c r="C11" s="214">
        <f>+'MAY SETIEMBRE'!E80</f>
        <v>3288672.8760750005</v>
      </c>
      <c r="D11" s="211"/>
      <c r="E11" s="211">
        <f t="shared" ref="E11:E17" si="0">+C11-D11</f>
        <v>3288672.8760750005</v>
      </c>
      <c r="F11" s="211"/>
      <c r="G11" s="212"/>
      <c r="H11" s="211"/>
      <c r="I11" s="214">
        <f>+H43</f>
        <v>0</v>
      </c>
      <c r="J11" s="212"/>
      <c r="K11" s="211">
        <f>+E11-I11</f>
        <v>3288672.8760750005</v>
      </c>
      <c r="L11" s="211"/>
      <c r="M11" s="211"/>
      <c r="N11" s="211"/>
      <c r="O11" s="211"/>
      <c r="P11" s="208"/>
    </row>
    <row r="12" spans="1:16">
      <c r="A12" s="209">
        <v>3331</v>
      </c>
      <c r="B12" s="210"/>
      <c r="C12" s="214">
        <f>+'MAY SETIEMBRE'!E92</f>
        <v>74612.5</v>
      </c>
      <c r="D12" s="211"/>
      <c r="E12" s="211">
        <f t="shared" si="0"/>
        <v>74612.5</v>
      </c>
      <c r="F12" s="211"/>
      <c r="G12" s="212"/>
      <c r="H12" s="211"/>
      <c r="I12" s="214"/>
      <c r="J12" s="212"/>
      <c r="K12" s="211">
        <f>+E12-I12</f>
        <v>74612.5</v>
      </c>
      <c r="L12" s="213"/>
      <c r="M12" s="211"/>
      <c r="N12" s="211"/>
      <c r="O12" s="211"/>
      <c r="P12" s="208"/>
    </row>
    <row r="13" spans="1:16">
      <c r="A13" s="209">
        <v>3341</v>
      </c>
      <c r="B13" s="210"/>
      <c r="C13" s="214">
        <f>+'MAY SETIEMBRE'!E104</f>
        <v>101177.31</v>
      </c>
      <c r="D13" s="211"/>
      <c r="E13" s="211">
        <f t="shared" si="0"/>
        <v>101177.31</v>
      </c>
      <c r="F13" s="211"/>
      <c r="G13" s="212"/>
      <c r="H13" s="211"/>
      <c r="I13" s="211"/>
      <c r="J13" s="212"/>
      <c r="K13" s="211">
        <f>+E13-I13</f>
        <v>101177.31</v>
      </c>
      <c r="L13" s="213"/>
      <c r="M13" s="211"/>
      <c r="N13" s="211"/>
      <c r="O13" s="211"/>
      <c r="P13" s="208"/>
    </row>
    <row r="14" spans="1:16">
      <c r="A14" s="209">
        <v>3351</v>
      </c>
      <c r="B14" s="210"/>
      <c r="C14" s="214">
        <f>+'MAY SETIEMBRE'!E116</f>
        <v>15703.98</v>
      </c>
      <c r="D14" s="211"/>
      <c r="E14" s="211">
        <f t="shared" si="0"/>
        <v>15703.98</v>
      </c>
      <c r="F14" s="211"/>
      <c r="G14" s="212"/>
      <c r="H14" s="211"/>
      <c r="I14" s="211"/>
      <c r="J14" s="212"/>
      <c r="K14" s="211">
        <f>+E14</f>
        <v>15703.98</v>
      </c>
      <c r="L14" s="213"/>
      <c r="M14" s="211"/>
      <c r="N14" s="211"/>
      <c r="O14" s="211"/>
      <c r="P14" s="208"/>
    </row>
    <row r="15" spans="1:16">
      <c r="A15" s="209">
        <v>3361</v>
      </c>
      <c r="B15" s="210"/>
      <c r="C15" s="214">
        <f>+'MAY SETIEMBRE'!E129</f>
        <v>102374.08</v>
      </c>
      <c r="D15" s="211"/>
      <c r="E15" s="211">
        <f t="shared" si="0"/>
        <v>102374.08</v>
      </c>
      <c r="F15" s="211"/>
      <c r="G15" s="212"/>
      <c r="H15" s="211"/>
      <c r="I15" s="211"/>
      <c r="J15" s="212"/>
      <c r="K15" s="211">
        <f>+E15</f>
        <v>102374.08</v>
      </c>
      <c r="L15" s="213"/>
      <c r="M15" s="211"/>
      <c r="N15" s="211"/>
      <c r="O15" s="211"/>
      <c r="P15" s="208"/>
    </row>
    <row r="16" spans="1:16">
      <c r="A16" s="209">
        <v>3392</v>
      </c>
      <c r="B16" s="210"/>
      <c r="C16" s="214">
        <f>+'MAY SETIEMBRE'!E141</f>
        <v>786177.89999999991</v>
      </c>
      <c r="D16" s="211"/>
      <c r="E16" s="211">
        <f t="shared" si="0"/>
        <v>786177.89999999991</v>
      </c>
      <c r="F16" s="211"/>
      <c r="G16" s="212"/>
      <c r="H16" s="211"/>
      <c r="I16" s="211"/>
      <c r="J16" s="212"/>
      <c r="K16" s="211">
        <f>+E16</f>
        <v>786177.89999999991</v>
      </c>
      <c r="L16" s="213"/>
      <c r="M16" s="211"/>
      <c r="N16" s="211"/>
      <c r="O16" s="211"/>
      <c r="P16" s="208"/>
    </row>
    <row r="17" spans="1:16">
      <c r="A17" s="209">
        <v>3731</v>
      </c>
      <c r="B17" s="210"/>
      <c r="C17" s="214">
        <f>+'MAY SETIEMBRE'!E155</f>
        <v>198469.10374500012</v>
      </c>
      <c r="D17" s="211">
        <f>+'MAY SETIEMBRE'!F155</f>
        <v>64714.599289999998</v>
      </c>
      <c r="E17" s="211">
        <f t="shared" si="0"/>
        <v>133754.5044550001</v>
      </c>
      <c r="F17" s="211"/>
      <c r="G17" s="212"/>
      <c r="H17" s="211"/>
      <c r="I17" s="211"/>
      <c r="J17" s="212"/>
      <c r="K17" s="211">
        <f>+E17</f>
        <v>133754.5044550001</v>
      </c>
      <c r="L17" s="213"/>
      <c r="M17" s="211"/>
      <c r="N17" s="211"/>
      <c r="O17" s="211"/>
      <c r="P17" s="208"/>
    </row>
    <row r="18" spans="1:16">
      <c r="A18" s="209">
        <v>3911</v>
      </c>
      <c r="B18" s="210"/>
      <c r="C18" s="213"/>
      <c r="D18" s="211">
        <f>+'MAY SETIEMBRE'!F167</f>
        <v>113991</v>
      </c>
      <c r="E18" s="211"/>
      <c r="F18" s="211">
        <f>+D18-C18</f>
        <v>113991</v>
      </c>
      <c r="G18" s="212"/>
      <c r="H18" s="211"/>
      <c r="I18" s="211"/>
      <c r="J18" s="212"/>
      <c r="K18" s="211"/>
      <c r="L18" s="211">
        <f>+F18</f>
        <v>113991</v>
      </c>
      <c r="M18" s="211"/>
      <c r="N18" s="211"/>
      <c r="O18" s="211"/>
      <c r="P18" s="208"/>
    </row>
    <row r="19" spans="1:16">
      <c r="A19" s="209">
        <v>4011</v>
      </c>
      <c r="B19" s="210"/>
      <c r="C19" s="214">
        <f>+'MAY SETIEMBRE'!E182</f>
        <v>620781.2792935</v>
      </c>
      <c r="D19" s="214">
        <f>+'MAY SETIEMBRE'!F182</f>
        <v>640299.50000000012</v>
      </c>
      <c r="E19" s="211"/>
      <c r="F19" s="211">
        <f>+D19-C19</f>
        <v>19518.220706500113</v>
      </c>
      <c r="G19" s="212"/>
      <c r="H19" s="211"/>
      <c r="I19" s="211"/>
      <c r="J19" s="212"/>
      <c r="K19" s="211">
        <f>+E19</f>
        <v>0</v>
      </c>
      <c r="L19" s="211">
        <f>+F19</f>
        <v>19518.220706500113</v>
      </c>
      <c r="M19" s="211"/>
      <c r="N19" s="211"/>
      <c r="O19" s="211"/>
      <c r="P19" s="208"/>
    </row>
    <row r="20" spans="1:16">
      <c r="A20" s="209">
        <v>40113</v>
      </c>
      <c r="B20" s="210"/>
      <c r="C20" s="214">
        <f>+'MAY SETIEMBRE'!E195</f>
        <v>17712.55</v>
      </c>
      <c r="D20" s="214">
        <f>+'MAY SETIEMBRE'!F195</f>
        <v>11748</v>
      </c>
      <c r="E20" s="211">
        <f>+C20-D20</f>
        <v>5964.5499999999993</v>
      </c>
      <c r="F20" s="211"/>
      <c r="G20" s="212"/>
      <c r="H20" s="211"/>
      <c r="I20" s="211"/>
      <c r="J20" s="212"/>
      <c r="K20" s="211">
        <f>+E20</f>
        <v>5964.5499999999993</v>
      </c>
      <c r="L20" s="211"/>
      <c r="M20" s="211"/>
      <c r="N20" s="211"/>
      <c r="O20" s="211"/>
      <c r="P20" s="208"/>
    </row>
    <row r="21" spans="1:16">
      <c r="A21" s="209">
        <v>40114</v>
      </c>
      <c r="B21" s="210"/>
      <c r="C21" s="214">
        <f>+'MAY SETIEMBRE'!E210</f>
        <v>143260.73000000001</v>
      </c>
      <c r="D21" s="214">
        <f>+'MAY SETIEMBRE'!F210</f>
        <v>60152.11</v>
      </c>
      <c r="E21" s="211">
        <f>+C21-D21</f>
        <v>83108.62000000001</v>
      </c>
      <c r="F21" s="211"/>
      <c r="G21" s="212"/>
      <c r="H21" s="211"/>
      <c r="I21" s="211"/>
      <c r="J21" s="212"/>
      <c r="K21" s="211">
        <f>+E21</f>
        <v>83108.62000000001</v>
      </c>
      <c r="L21" s="211">
        <f>+F21</f>
        <v>0</v>
      </c>
      <c r="M21" s="211"/>
      <c r="N21" s="211"/>
      <c r="O21" s="211"/>
      <c r="P21" s="208"/>
    </row>
    <row r="22" spans="1:16">
      <c r="A22" s="209">
        <v>40171</v>
      </c>
      <c r="B22" s="210"/>
      <c r="C22" s="214">
        <f>+'MAY SETIEMBRE'!E224</f>
        <v>64488</v>
      </c>
      <c r="D22" s="211"/>
      <c r="E22" s="211">
        <f>+C22-D22</f>
        <v>64488</v>
      </c>
      <c r="F22" s="211"/>
      <c r="G22" s="212"/>
      <c r="H22" s="211"/>
      <c r="I22" s="211"/>
      <c r="J22" s="212"/>
      <c r="K22" s="211">
        <f>+E22</f>
        <v>64488</v>
      </c>
      <c r="L22" s="213"/>
      <c r="M22" s="211"/>
      <c r="N22" s="211"/>
      <c r="O22" s="211"/>
      <c r="P22" s="208"/>
    </row>
    <row r="23" spans="1:16">
      <c r="A23" s="209">
        <v>40172</v>
      </c>
      <c r="B23" s="210"/>
      <c r="C23" s="214"/>
      <c r="D23" s="211"/>
      <c r="E23" s="211"/>
      <c r="F23" s="211"/>
      <c r="G23" s="212"/>
      <c r="H23" s="211"/>
      <c r="I23" s="211"/>
      <c r="J23" s="212"/>
      <c r="K23" s="211"/>
      <c r="L23" s="213"/>
      <c r="M23" s="211"/>
      <c r="N23" s="211"/>
      <c r="O23" s="211"/>
      <c r="P23" s="208"/>
    </row>
    <row r="24" spans="1:16">
      <c r="A24" s="209">
        <v>40173</v>
      </c>
      <c r="B24" s="210"/>
      <c r="C24" s="214">
        <f>+'MAY SETIEMBRE'!E237</f>
        <v>3938</v>
      </c>
      <c r="D24" s="214">
        <f>+'MAY SETIEMBRE'!F237</f>
        <v>5092.0425000000005</v>
      </c>
      <c r="E24" s="211"/>
      <c r="F24" s="211">
        <f t="shared" ref="F24:F31" si="1">+D24-C24</f>
        <v>1154.0425000000005</v>
      </c>
      <c r="G24" s="212"/>
      <c r="H24" s="211"/>
      <c r="I24" s="211"/>
      <c r="J24" s="212"/>
      <c r="K24" s="211"/>
      <c r="L24" s="211">
        <f t="shared" ref="L24:L29" si="2">+F24</f>
        <v>1154.0425000000005</v>
      </c>
      <c r="M24" s="211"/>
      <c r="N24" s="211"/>
      <c r="O24" s="211"/>
      <c r="P24" s="208"/>
    </row>
    <row r="25" spans="1:16">
      <c r="A25" s="209">
        <v>40186</v>
      </c>
      <c r="B25" s="210"/>
      <c r="C25" s="214">
        <f>+'MAY SETIEMBRE'!E250</f>
        <v>4369</v>
      </c>
      <c r="D25" s="214"/>
      <c r="E25" s="211">
        <f>+C25</f>
        <v>4369</v>
      </c>
      <c r="F25" s="211"/>
      <c r="G25" s="212"/>
      <c r="H25" s="211"/>
      <c r="I25" s="211"/>
      <c r="J25" s="212"/>
      <c r="K25" s="211">
        <f>+E25</f>
        <v>4369</v>
      </c>
      <c r="L25" s="211">
        <f t="shared" si="2"/>
        <v>0</v>
      </c>
      <c r="M25" s="211"/>
      <c r="N25" s="211"/>
      <c r="O25" s="211"/>
      <c r="P25" s="208"/>
    </row>
    <row r="26" spans="1:16">
      <c r="A26" s="209">
        <v>4031</v>
      </c>
      <c r="B26" s="210"/>
      <c r="C26" s="214">
        <f>+'MAY SETIEMBRE'!E264</f>
        <v>14448</v>
      </c>
      <c r="D26" s="214">
        <f>+'MAY SETIEMBRE'!F264</f>
        <v>15377.260567500007</v>
      </c>
      <c r="E26" s="211"/>
      <c r="F26" s="211">
        <f t="shared" si="1"/>
        <v>929.2605675000068</v>
      </c>
      <c r="G26" s="212"/>
      <c r="H26" s="211"/>
      <c r="I26" s="211"/>
      <c r="J26" s="212"/>
      <c r="K26" s="211"/>
      <c r="L26" s="211">
        <f t="shared" si="2"/>
        <v>929.2605675000068</v>
      </c>
      <c r="M26" s="211"/>
      <c r="N26" s="211"/>
      <c r="O26" s="211"/>
      <c r="P26" s="208"/>
    </row>
    <row r="27" spans="1:16">
      <c r="A27" s="209">
        <v>4032</v>
      </c>
      <c r="B27" s="210"/>
      <c r="C27" s="214">
        <f>+'MAY SETIEMBRE'!E278</f>
        <v>5616</v>
      </c>
      <c r="D27" s="214">
        <f>+'MAY SETIEMBRE'!F278</f>
        <v>6010.7149419444422</v>
      </c>
      <c r="E27" s="211"/>
      <c r="F27" s="211">
        <f t="shared" si="1"/>
        <v>394.71494194444222</v>
      </c>
      <c r="G27" s="212"/>
      <c r="H27" s="211"/>
      <c r="I27" s="211"/>
      <c r="J27" s="212"/>
      <c r="K27" s="211"/>
      <c r="L27" s="211">
        <f t="shared" si="2"/>
        <v>394.71494194444222</v>
      </c>
      <c r="M27" s="211"/>
      <c r="N27" s="211"/>
      <c r="O27" s="211"/>
      <c r="P27" s="208"/>
    </row>
    <row r="28" spans="1:16">
      <c r="A28" s="209">
        <v>4071</v>
      </c>
      <c r="B28" s="210"/>
      <c r="C28" s="214">
        <f>+'MAY SETIEMBRE'!E292</f>
        <v>12581.08</v>
      </c>
      <c r="D28" s="214">
        <f>+'MAY SETIEMBRE'!F292</f>
        <v>15199.940153000003</v>
      </c>
      <c r="E28" s="211"/>
      <c r="F28" s="211">
        <f t="shared" si="1"/>
        <v>2618.8601530000033</v>
      </c>
      <c r="G28" s="212"/>
      <c r="H28" s="211"/>
      <c r="I28" s="211"/>
      <c r="J28" s="212"/>
      <c r="K28" s="211"/>
      <c r="L28" s="211">
        <f t="shared" si="2"/>
        <v>2618.8601530000033</v>
      </c>
      <c r="M28" s="211"/>
      <c r="N28" s="211"/>
      <c r="O28" s="211"/>
      <c r="P28" s="208"/>
    </row>
    <row r="29" spans="1:16">
      <c r="A29" s="209">
        <v>4111</v>
      </c>
      <c r="B29" s="210"/>
      <c r="C29" s="214">
        <f>+'MAY SETIEMBRE'!E306</f>
        <v>117886.38350800001</v>
      </c>
      <c r="D29" s="214">
        <f>+'MAY SETIEMBRE'!F306</f>
        <v>117886.38350800001</v>
      </c>
      <c r="E29" s="211"/>
      <c r="F29" s="211">
        <f t="shared" si="1"/>
        <v>0</v>
      </c>
      <c r="G29" s="212"/>
      <c r="H29" s="211"/>
      <c r="I29" s="211"/>
      <c r="J29" s="212"/>
      <c r="K29" s="211"/>
      <c r="L29" s="211">
        <f t="shared" si="2"/>
        <v>0</v>
      </c>
      <c r="M29" s="211"/>
      <c r="N29" s="211"/>
      <c r="O29" s="211"/>
      <c r="P29" s="208"/>
    </row>
    <row r="30" spans="1:16">
      <c r="A30" s="209">
        <v>4114</v>
      </c>
      <c r="B30" s="210"/>
      <c r="C30" s="214">
        <f>+'MAY SETIEMBRE'!E318</f>
        <v>16325.06</v>
      </c>
      <c r="D30" s="214">
        <f>+'MAY SETIEMBRE'!F318</f>
        <v>16325.06</v>
      </c>
      <c r="E30" s="211"/>
      <c r="F30" s="211">
        <f t="shared" si="1"/>
        <v>0</v>
      </c>
      <c r="G30" s="212"/>
      <c r="H30" s="211"/>
      <c r="I30" s="211"/>
      <c r="J30" s="212"/>
      <c r="K30" s="211"/>
      <c r="L30" s="211">
        <f t="shared" ref="L30:L41" si="3">+F30</f>
        <v>0</v>
      </c>
      <c r="M30" s="211"/>
      <c r="N30" s="211"/>
      <c r="O30" s="211"/>
      <c r="P30" s="208"/>
    </row>
    <row r="31" spans="1:16">
      <c r="A31" s="209">
        <v>4115</v>
      </c>
      <c r="B31" s="210"/>
      <c r="C31" s="211"/>
      <c r="D31" s="211"/>
      <c r="E31" s="211"/>
      <c r="F31" s="211">
        <f t="shared" si="1"/>
        <v>0</v>
      </c>
      <c r="G31" s="212"/>
      <c r="H31" s="211"/>
      <c r="I31" s="211"/>
      <c r="J31" s="212"/>
      <c r="K31" s="211"/>
      <c r="L31" s="211">
        <f t="shared" si="3"/>
        <v>0</v>
      </c>
      <c r="M31" s="211"/>
      <c r="N31" s="211"/>
      <c r="O31" s="211"/>
      <c r="P31" s="208"/>
    </row>
    <row r="32" spans="1:16">
      <c r="A32" s="209">
        <v>4151</v>
      </c>
      <c r="B32" s="210"/>
      <c r="C32" s="211">
        <f>+'MAY SETIEMBRE'!E330</f>
        <v>0</v>
      </c>
      <c r="D32" s="211">
        <f>+'MAY SETIEMBRE'!F330</f>
        <v>20605</v>
      </c>
      <c r="E32" s="211"/>
      <c r="F32" s="211">
        <f>+D32-C32</f>
        <v>20605</v>
      </c>
      <c r="G32" s="212"/>
      <c r="H32" s="211"/>
      <c r="I32" s="211"/>
      <c r="J32" s="212"/>
      <c r="K32" s="211">
        <f>+E32</f>
        <v>0</v>
      </c>
      <c r="L32" s="211">
        <f t="shared" si="3"/>
        <v>20605</v>
      </c>
      <c r="M32" s="211"/>
      <c r="N32" s="211"/>
      <c r="O32" s="211"/>
      <c r="P32" s="208"/>
    </row>
    <row r="33" spans="1:18">
      <c r="A33" s="209">
        <v>4191</v>
      </c>
      <c r="B33" s="210"/>
      <c r="C33" s="214">
        <f>+'MAY SETIEMBRE'!E342</f>
        <v>16325.06</v>
      </c>
      <c r="D33" s="214">
        <f>+'MAY SETIEMBRE'!F342</f>
        <v>16325.06</v>
      </c>
      <c r="E33" s="211"/>
      <c r="F33" s="211">
        <f>+D33-C33</f>
        <v>0</v>
      </c>
      <c r="G33" s="212"/>
      <c r="H33" s="211"/>
      <c r="I33" s="211"/>
      <c r="J33" s="212"/>
      <c r="K33" s="211"/>
      <c r="L33" s="211">
        <f t="shared" si="3"/>
        <v>0</v>
      </c>
      <c r="M33" s="211"/>
      <c r="N33" s="211"/>
      <c r="O33" s="211"/>
      <c r="P33" s="208"/>
    </row>
    <row r="34" spans="1:18">
      <c r="A34" s="209">
        <v>4212</v>
      </c>
      <c r="B34" s="210"/>
      <c r="C34" s="214">
        <f>+'MAY SETIEMBRE'!E356</f>
        <v>3677781.28</v>
      </c>
      <c r="D34" s="214">
        <f>+'MAY SETIEMBRE'!F356</f>
        <v>3969969.6653684997</v>
      </c>
      <c r="E34" s="211"/>
      <c r="F34" s="214">
        <f>+D34-C34</f>
        <v>292188.3853684999</v>
      </c>
      <c r="G34" s="212"/>
      <c r="H34" s="211"/>
      <c r="I34" s="211"/>
      <c r="J34" s="212"/>
      <c r="K34" s="211">
        <f>+E34</f>
        <v>0</v>
      </c>
      <c r="L34" s="211">
        <f t="shared" si="3"/>
        <v>292188.3853684999</v>
      </c>
      <c r="M34" s="211"/>
      <c r="N34" s="211"/>
      <c r="O34" s="211"/>
      <c r="P34" s="208"/>
      <c r="Q34" s="92"/>
      <c r="R34" s="92"/>
    </row>
    <row r="35" spans="1:18">
      <c r="A35" s="209">
        <v>4511</v>
      </c>
      <c r="B35" s="210"/>
      <c r="C35" s="214">
        <f>+'MAY SETIEMBRE'!E370</f>
        <v>904897.92215999996</v>
      </c>
      <c r="D35" s="214">
        <f>+'MAY SETIEMBRE'!F370</f>
        <v>2380270.9628700009</v>
      </c>
      <c r="E35" s="211"/>
      <c r="F35" s="211">
        <f>+D35-C35</f>
        <v>1475373.0407100008</v>
      </c>
      <c r="G35" s="212"/>
      <c r="H35" s="211"/>
      <c r="I35" s="211"/>
      <c r="J35" s="212"/>
      <c r="K35" s="211">
        <f>+E35</f>
        <v>0</v>
      </c>
      <c r="L35" s="211">
        <f t="shared" si="3"/>
        <v>1475373.0407100008</v>
      </c>
      <c r="M35" s="211"/>
      <c r="N35" s="211"/>
      <c r="O35" s="211"/>
      <c r="P35" s="208"/>
    </row>
    <row r="36" spans="1:18">
      <c r="A36" s="209">
        <v>4552</v>
      </c>
      <c r="B36" s="210"/>
      <c r="C36" s="214"/>
      <c r="D36" s="211"/>
      <c r="E36" s="211">
        <f>+C36-D36</f>
        <v>0</v>
      </c>
      <c r="F36" s="211"/>
      <c r="G36" s="212"/>
      <c r="H36" s="211"/>
      <c r="I36" s="211"/>
      <c r="J36" s="212"/>
      <c r="K36" s="211">
        <f>+E36</f>
        <v>0</v>
      </c>
      <c r="L36" s="211"/>
      <c r="M36" s="211"/>
      <c r="N36" s="211"/>
      <c r="O36" s="211"/>
      <c r="P36" s="208"/>
    </row>
    <row r="37" spans="1:18">
      <c r="A37" s="209">
        <v>4699</v>
      </c>
      <c r="B37" s="210"/>
      <c r="C37" s="211"/>
      <c r="D37" s="211"/>
      <c r="E37" s="211"/>
      <c r="F37" s="214">
        <f>+D37-C37</f>
        <v>0</v>
      </c>
      <c r="G37" s="212"/>
      <c r="H37" s="211"/>
      <c r="I37" s="211"/>
      <c r="J37" s="212"/>
      <c r="K37" s="211"/>
      <c r="L37" s="211">
        <f t="shared" si="3"/>
        <v>0</v>
      </c>
      <c r="M37" s="211"/>
      <c r="N37" s="211"/>
      <c r="O37" s="211"/>
      <c r="P37" s="208"/>
    </row>
    <row r="38" spans="1:18">
      <c r="A38" s="209">
        <v>4961</v>
      </c>
      <c r="B38" s="210"/>
      <c r="C38" s="211"/>
      <c r="D38" s="211">
        <f>+'MAY SETIEMBRE'!F394</f>
        <v>291128.79774000001</v>
      </c>
      <c r="E38" s="211"/>
      <c r="F38" s="214">
        <f>+D38</f>
        <v>291128.79774000001</v>
      </c>
      <c r="G38" s="212"/>
      <c r="H38" s="211"/>
      <c r="I38" s="211"/>
      <c r="J38" s="212"/>
      <c r="K38" s="211"/>
      <c r="L38" s="211">
        <f t="shared" si="3"/>
        <v>291128.79774000001</v>
      </c>
      <c r="M38" s="211"/>
      <c r="N38" s="211"/>
      <c r="O38" s="211"/>
      <c r="P38" s="208"/>
    </row>
    <row r="39" spans="1:18">
      <c r="A39" s="209">
        <v>4715</v>
      </c>
      <c r="B39" s="210"/>
      <c r="C39" s="211">
        <f>+'MAY SETIEMBRE'!E382</f>
        <v>100000</v>
      </c>
      <c r="D39" s="211"/>
      <c r="E39" s="211">
        <f>+C39</f>
        <v>100000</v>
      </c>
      <c r="F39" s="214"/>
      <c r="G39" s="212"/>
      <c r="H39" s="211"/>
      <c r="I39" s="211"/>
      <c r="J39" s="212"/>
      <c r="K39" s="211">
        <f>+E39</f>
        <v>100000</v>
      </c>
      <c r="L39" s="211"/>
      <c r="M39" s="211"/>
      <c r="N39" s="211"/>
      <c r="O39" s="211"/>
      <c r="P39" s="208"/>
    </row>
    <row r="40" spans="1:18">
      <c r="A40" s="209">
        <v>5011</v>
      </c>
      <c r="B40" s="210"/>
      <c r="C40" s="211"/>
      <c r="D40" s="211">
        <f>+'MAY SETIEMBRE'!F406</f>
        <v>862000</v>
      </c>
      <c r="E40" s="211"/>
      <c r="F40" s="211">
        <f>+D40-C40</f>
        <v>862000</v>
      </c>
      <c r="G40" s="212"/>
      <c r="H40" s="211"/>
      <c r="I40" s="211"/>
      <c r="J40" s="212"/>
      <c r="K40" s="211"/>
      <c r="L40" s="211">
        <f t="shared" si="3"/>
        <v>862000</v>
      </c>
      <c r="M40" s="211"/>
      <c r="N40" s="211"/>
      <c r="O40" s="211"/>
      <c r="P40" s="215"/>
    </row>
    <row r="41" spans="1:18">
      <c r="A41" s="209">
        <v>5911</v>
      </c>
      <c r="B41" s="210"/>
      <c r="C41" s="211"/>
      <c r="D41" s="211">
        <f>+'MAY SETIEMBRE'!F418</f>
        <v>2934.5438098600134</v>
      </c>
      <c r="E41" s="211"/>
      <c r="F41" s="211">
        <f>+D41-C41</f>
        <v>2934.5438098600134</v>
      </c>
      <c r="G41" s="212"/>
      <c r="H41" s="211"/>
      <c r="I41" s="211"/>
      <c r="J41" s="212"/>
      <c r="K41" s="211"/>
      <c r="L41" s="211">
        <f t="shared" si="3"/>
        <v>2934.5438098600134</v>
      </c>
      <c r="M41" s="211"/>
      <c r="N41" s="211"/>
      <c r="O41" s="211"/>
      <c r="P41" s="215"/>
    </row>
    <row r="42" spans="1:18">
      <c r="A42" s="209">
        <v>6011</v>
      </c>
      <c r="B42" s="210"/>
      <c r="C42" s="214">
        <f>+'MAY SETIEMBRE'!E431</f>
        <v>3037812.8760749996</v>
      </c>
      <c r="D42" s="211"/>
      <c r="E42" s="211">
        <f>+C42-D42</f>
        <v>3037812.8760749996</v>
      </c>
      <c r="F42" s="211"/>
      <c r="G42" s="212"/>
      <c r="H42" s="216"/>
      <c r="I42" s="217"/>
      <c r="J42" s="212"/>
      <c r="K42" s="210"/>
      <c r="L42" s="211"/>
      <c r="M42" s="211">
        <f>+E42</f>
        <v>3037812.8760749996</v>
      </c>
      <c r="N42" s="218"/>
      <c r="O42" s="211"/>
      <c r="P42" s="215"/>
    </row>
    <row r="43" spans="1:18">
      <c r="A43" s="209">
        <v>6111</v>
      </c>
      <c r="B43" s="210"/>
      <c r="C43" s="211"/>
      <c r="D43" s="214">
        <f>+'MAY SETIEMBRE'!F444</f>
        <v>3037812.8760749996</v>
      </c>
      <c r="E43" s="211"/>
      <c r="F43" s="211">
        <f>+D43-C43</f>
        <v>3037812.8760749996</v>
      </c>
      <c r="G43" s="212"/>
      <c r="H43" s="217">
        <f>+I71</f>
        <v>0</v>
      </c>
      <c r="I43" s="217"/>
      <c r="J43" s="212"/>
      <c r="K43" s="211"/>
      <c r="L43" s="218"/>
      <c r="M43" s="211"/>
      <c r="N43" s="211">
        <f>+F43-H43</f>
        <v>3037812.8760749996</v>
      </c>
      <c r="O43" s="211"/>
      <c r="P43" s="211"/>
    </row>
    <row r="44" spans="1:18">
      <c r="A44" s="209">
        <v>6211</v>
      </c>
      <c r="B44" s="210"/>
      <c r="C44" s="214">
        <f>+'MAY SETIEMBRE'!E457</f>
        <v>139275.54</v>
      </c>
      <c r="D44" s="211"/>
      <c r="E44" s="211">
        <f>+C44-D44</f>
        <v>139275.54</v>
      </c>
      <c r="F44" s="211"/>
      <c r="G44" s="212"/>
      <c r="H44" s="217"/>
      <c r="I44" s="217"/>
      <c r="J44" s="212"/>
      <c r="K44" s="211"/>
      <c r="L44" s="218"/>
      <c r="M44" s="211">
        <f t="shared" ref="M44:M70" si="4">+E44</f>
        <v>139275.54</v>
      </c>
      <c r="N44" s="211"/>
      <c r="O44" s="211"/>
      <c r="P44" s="211"/>
    </row>
    <row r="45" spans="1:18">
      <c r="A45" s="209">
        <v>6221</v>
      </c>
      <c r="B45" s="210"/>
      <c r="C45" s="211"/>
      <c r="D45" s="211"/>
      <c r="E45" s="211">
        <f>+C45</f>
        <v>0</v>
      </c>
      <c r="F45" s="211"/>
      <c r="G45" s="212"/>
      <c r="H45" s="217"/>
      <c r="I45" s="217"/>
      <c r="J45" s="212"/>
      <c r="K45" s="211"/>
      <c r="L45" s="218"/>
      <c r="M45" s="211">
        <f t="shared" si="4"/>
        <v>0</v>
      </c>
      <c r="N45" s="211"/>
      <c r="O45" s="211"/>
      <c r="P45" s="211"/>
    </row>
    <row r="46" spans="1:18">
      <c r="A46" s="209">
        <v>6251</v>
      </c>
      <c r="B46" s="210"/>
      <c r="C46" s="214">
        <f>+'MAY SETIEMBRE'!E469</f>
        <v>16325.06</v>
      </c>
      <c r="D46" s="211"/>
      <c r="E46" s="211">
        <f t="shared" ref="E46:E51" si="5">+C46</f>
        <v>16325.06</v>
      </c>
      <c r="F46" s="211"/>
      <c r="G46" s="212"/>
      <c r="H46" s="217"/>
      <c r="I46" s="217"/>
      <c r="J46" s="212"/>
      <c r="K46" s="211"/>
      <c r="L46" s="218"/>
      <c r="M46" s="211">
        <f t="shared" si="4"/>
        <v>16325.06</v>
      </c>
      <c r="N46" s="211"/>
      <c r="O46" s="211"/>
      <c r="P46" s="211"/>
    </row>
    <row r="47" spans="1:18">
      <c r="A47" s="209">
        <v>6252</v>
      </c>
      <c r="B47" s="210"/>
      <c r="C47" s="214">
        <f>+'MAY SETIEMBRE'!E481</f>
        <v>16325.06</v>
      </c>
      <c r="D47" s="211"/>
      <c r="E47" s="211">
        <f t="shared" si="5"/>
        <v>16325.06</v>
      </c>
      <c r="F47" s="211"/>
      <c r="G47" s="212"/>
      <c r="H47" s="217"/>
      <c r="I47" s="217"/>
      <c r="J47" s="212"/>
      <c r="K47" s="211"/>
      <c r="L47" s="218"/>
      <c r="M47" s="211">
        <f t="shared" si="4"/>
        <v>16325.06</v>
      </c>
      <c r="N47" s="211"/>
      <c r="O47" s="211"/>
      <c r="P47" s="211"/>
    </row>
    <row r="48" spans="1:18">
      <c r="A48" s="209">
        <v>6271</v>
      </c>
      <c r="B48" s="210"/>
      <c r="C48" s="214">
        <f>+'MAY SETIEMBRE'!E494</f>
        <v>12534.8032</v>
      </c>
      <c r="D48" s="211"/>
      <c r="E48" s="211">
        <f t="shared" si="5"/>
        <v>12534.8032</v>
      </c>
      <c r="F48" s="211"/>
      <c r="G48" s="212"/>
      <c r="H48" s="217"/>
      <c r="I48" s="217"/>
      <c r="J48" s="212"/>
      <c r="K48" s="211"/>
      <c r="L48" s="218"/>
      <c r="M48" s="211">
        <f t="shared" si="4"/>
        <v>12534.8032</v>
      </c>
      <c r="N48" s="211"/>
      <c r="O48" s="211"/>
      <c r="P48" s="211"/>
    </row>
    <row r="49" spans="1:16">
      <c r="A49" s="209">
        <v>6291</v>
      </c>
      <c r="B49" s="210"/>
      <c r="C49" s="214"/>
      <c r="D49" s="211"/>
      <c r="E49" s="211">
        <f>+C49</f>
        <v>0</v>
      </c>
      <c r="F49" s="211"/>
      <c r="G49" s="212"/>
      <c r="H49" s="217"/>
      <c r="I49" s="217"/>
      <c r="J49" s="212"/>
      <c r="K49" s="211"/>
      <c r="L49" s="218"/>
      <c r="M49" s="211">
        <f t="shared" si="4"/>
        <v>0</v>
      </c>
      <c r="N49" s="211"/>
      <c r="O49" s="211"/>
      <c r="P49" s="211"/>
    </row>
    <row r="50" spans="1:16">
      <c r="A50" s="209">
        <v>6311</v>
      </c>
      <c r="B50" s="210"/>
      <c r="C50" s="214">
        <f>+'MAY SETIEMBRE'!E507</f>
        <v>18607.29</v>
      </c>
      <c r="D50" s="211"/>
      <c r="E50" s="211">
        <f t="shared" si="5"/>
        <v>18607.29</v>
      </c>
      <c r="F50" s="211"/>
      <c r="G50" s="212"/>
      <c r="H50" s="217"/>
      <c r="I50" s="217"/>
      <c r="J50" s="212"/>
      <c r="K50" s="211"/>
      <c r="L50" s="218"/>
      <c r="M50" s="211">
        <f t="shared" si="4"/>
        <v>18607.29</v>
      </c>
      <c r="N50" s="211"/>
      <c r="O50" s="211"/>
      <c r="P50" s="211"/>
    </row>
    <row r="51" spans="1:16">
      <c r="A51" s="209">
        <v>6312</v>
      </c>
      <c r="B51" s="210"/>
      <c r="C51" s="214"/>
      <c r="D51" s="211"/>
      <c r="E51" s="211">
        <f t="shared" si="5"/>
        <v>0</v>
      </c>
      <c r="F51" s="211"/>
      <c r="G51" s="212"/>
      <c r="H51" s="217"/>
      <c r="I51" s="217"/>
      <c r="J51" s="212"/>
      <c r="K51" s="211"/>
      <c r="L51" s="218"/>
      <c r="M51" s="211">
        <f t="shared" si="4"/>
        <v>0</v>
      </c>
      <c r="N51" s="211"/>
      <c r="O51" s="211"/>
      <c r="P51" s="211"/>
    </row>
    <row r="52" spans="1:16">
      <c r="A52" s="219">
        <v>6313</v>
      </c>
      <c r="B52" s="210"/>
      <c r="C52" s="214">
        <f>+'MAY SETIEMBRE'!E520</f>
        <v>4986.96</v>
      </c>
      <c r="D52" s="211"/>
      <c r="E52" s="211">
        <f>+C52</f>
        <v>4986.96</v>
      </c>
      <c r="F52" s="211"/>
      <c r="G52" s="212"/>
      <c r="H52" s="217"/>
      <c r="I52" s="217"/>
      <c r="J52" s="212"/>
      <c r="K52" s="211"/>
      <c r="L52" s="218"/>
      <c r="M52" s="211">
        <f t="shared" si="4"/>
        <v>4986.96</v>
      </c>
      <c r="N52" s="211"/>
      <c r="O52" s="211"/>
      <c r="P52" s="211"/>
    </row>
    <row r="53" spans="1:16">
      <c r="A53" s="219">
        <v>6314</v>
      </c>
      <c r="B53" s="210"/>
      <c r="C53" s="214">
        <f>+'MAY SETIEMBRE'!E533</f>
        <v>5303.3</v>
      </c>
      <c r="D53" s="211"/>
      <c r="E53" s="211">
        <f t="shared" ref="E53:E63" si="6">+C53-D53</f>
        <v>5303.3</v>
      </c>
      <c r="F53" s="211"/>
      <c r="G53" s="212"/>
      <c r="H53" s="217"/>
      <c r="I53" s="217"/>
      <c r="J53" s="212"/>
      <c r="K53" s="211"/>
      <c r="L53" s="218"/>
      <c r="M53" s="211">
        <f t="shared" si="4"/>
        <v>5303.3</v>
      </c>
      <c r="N53" s="211"/>
      <c r="O53" s="211"/>
      <c r="P53" s="211"/>
    </row>
    <row r="54" spans="1:16">
      <c r="A54" s="219">
        <v>6315</v>
      </c>
      <c r="B54" s="210"/>
      <c r="C54" s="211"/>
      <c r="D54" s="211"/>
      <c r="E54" s="211">
        <f t="shared" si="6"/>
        <v>0</v>
      </c>
      <c r="F54" s="211"/>
      <c r="G54" s="212"/>
      <c r="H54" s="217"/>
      <c r="I54" s="217"/>
      <c r="J54" s="212"/>
      <c r="K54" s="211"/>
      <c r="L54" s="218"/>
      <c r="M54" s="211">
        <f t="shared" si="4"/>
        <v>0</v>
      </c>
      <c r="N54" s="211"/>
      <c r="O54" s="211"/>
      <c r="P54" s="211"/>
    </row>
    <row r="55" spans="1:16">
      <c r="A55" s="209">
        <v>6321</v>
      </c>
      <c r="B55" s="210"/>
      <c r="C55" s="214">
        <f>+'MAY SETIEMBRE'!E545</f>
        <v>941.41</v>
      </c>
      <c r="D55" s="211"/>
      <c r="E55" s="211">
        <f t="shared" si="6"/>
        <v>941.41</v>
      </c>
      <c r="F55" s="211"/>
      <c r="G55" s="212"/>
      <c r="H55" s="217"/>
      <c r="I55" s="217"/>
      <c r="J55" s="212"/>
      <c r="K55" s="211"/>
      <c r="L55" s="218"/>
      <c r="M55" s="211">
        <f t="shared" si="4"/>
        <v>941.41</v>
      </c>
      <c r="N55" s="211"/>
      <c r="O55" s="211"/>
      <c r="P55" s="211"/>
    </row>
    <row r="56" spans="1:16">
      <c r="A56" s="209">
        <v>6342</v>
      </c>
      <c r="B56" s="210"/>
      <c r="C56" s="211"/>
      <c r="D56" s="211"/>
      <c r="E56" s="211">
        <f t="shared" si="6"/>
        <v>0</v>
      </c>
      <c r="F56" s="211"/>
      <c r="G56" s="212"/>
      <c r="H56" s="217"/>
      <c r="I56" s="217"/>
      <c r="J56" s="212"/>
      <c r="K56" s="211"/>
      <c r="L56" s="218"/>
      <c r="M56" s="211">
        <f t="shared" si="4"/>
        <v>0</v>
      </c>
      <c r="N56" s="211"/>
      <c r="O56" s="211"/>
      <c r="P56" s="211"/>
    </row>
    <row r="57" spans="1:16">
      <c r="A57" s="209">
        <v>6343</v>
      </c>
      <c r="B57" s="210"/>
      <c r="C57" s="214">
        <f>+'MAY SETIEMBRE'!E558</f>
        <v>32578.1</v>
      </c>
      <c r="D57" s="211"/>
      <c r="E57" s="211">
        <f t="shared" si="6"/>
        <v>32578.1</v>
      </c>
      <c r="F57" s="211"/>
      <c r="G57" s="212"/>
      <c r="H57" s="217"/>
      <c r="I57" s="220"/>
      <c r="J57" s="212"/>
      <c r="K57" s="211"/>
      <c r="L57" s="218"/>
      <c r="M57" s="211">
        <f t="shared" si="4"/>
        <v>32578.1</v>
      </c>
      <c r="N57" s="211"/>
      <c r="O57" s="211"/>
      <c r="P57" s="211"/>
    </row>
    <row r="58" spans="1:16">
      <c r="A58" s="209">
        <v>6353</v>
      </c>
      <c r="B58" s="210"/>
      <c r="C58" s="214"/>
      <c r="D58" s="211"/>
      <c r="E58" s="211">
        <f t="shared" si="6"/>
        <v>0</v>
      </c>
      <c r="F58" s="211"/>
      <c r="G58" s="212"/>
      <c r="H58" s="217"/>
      <c r="I58" s="220"/>
      <c r="J58" s="212"/>
      <c r="K58" s="211"/>
      <c r="L58" s="218"/>
      <c r="M58" s="211">
        <f t="shared" si="4"/>
        <v>0</v>
      </c>
      <c r="N58" s="211"/>
      <c r="O58" s="211"/>
      <c r="P58" s="211"/>
    </row>
    <row r="59" spans="1:16">
      <c r="A59" s="209">
        <v>6354</v>
      </c>
      <c r="B59" s="210"/>
      <c r="C59" s="214">
        <f>+'MAY SETIEMBRE'!E571</f>
        <v>12273.5</v>
      </c>
      <c r="D59" s="211"/>
      <c r="E59" s="211">
        <f t="shared" si="6"/>
        <v>12273.5</v>
      </c>
      <c r="F59" s="211"/>
      <c r="G59" s="212"/>
      <c r="H59" s="217"/>
      <c r="I59" s="220"/>
      <c r="J59" s="212"/>
      <c r="K59" s="211"/>
      <c r="L59" s="218"/>
      <c r="M59" s="211">
        <f t="shared" si="4"/>
        <v>12273.5</v>
      </c>
      <c r="N59" s="211"/>
      <c r="O59" s="211"/>
      <c r="P59" s="211"/>
    </row>
    <row r="60" spans="1:16">
      <c r="A60" s="209">
        <v>6361</v>
      </c>
      <c r="B60" s="210"/>
      <c r="C60" s="214">
        <f>+'MAY SETIEMBRE'!E583</f>
        <v>212.5</v>
      </c>
      <c r="D60" s="211"/>
      <c r="E60" s="211">
        <f t="shared" si="6"/>
        <v>212.5</v>
      </c>
      <c r="F60" s="211"/>
      <c r="G60" s="212"/>
      <c r="H60" s="217"/>
      <c r="I60" s="217"/>
      <c r="J60" s="212"/>
      <c r="K60" s="211"/>
      <c r="L60" s="218"/>
      <c r="M60" s="211">
        <f t="shared" si="4"/>
        <v>212.5</v>
      </c>
      <c r="N60" s="211"/>
      <c r="O60" s="211"/>
      <c r="P60" s="211"/>
    </row>
    <row r="61" spans="1:16">
      <c r="A61" s="209">
        <v>6364</v>
      </c>
      <c r="B61" s="210"/>
      <c r="C61" s="214">
        <f>+'MAY SETIEMBRE'!E596</f>
        <v>7182</v>
      </c>
      <c r="D61" s="211"/>
      <c r="E61" s="211">
        <f t="shared" si="6"/>
        <v>7182</v>
      </c>
      <c r="F61" s="211"/>
      <c r="G61" s="212"/>
      <c r="H61" s="217"/>
      <c r="I61" s="217"/>
      <c r="J61" s="212"/>
      <c r="K61" s="211"/>
      <c r="L61" s="218"/>
      <c r="M61" s="211">
        <f t="shared" si="4"/>
        <v>7182</v>
      </c>
      <c r="N61" s="211"/>
      <c r="O61" s="211"/>
      <c r="P61" s="211"/>
    </row>
    <row r="62" spans="1:16">
      <c r="A62" s="209">
        <v>6365</v>
      </c>
      <c r="B62" s="210"/>
      <c r="C62" s="214"/>
      <c r="D62" s="211"/>
      <c r="E62" s="211">
        <f t="shared" si="6"/>
        <v>0</v>
      </c>
      <c r="F62" s="211"/>
      <c r="G62" s="212"/>
      <c r="H62" s="217"/>
      <c r="I62" s="217"/>
      <c r="J62" s="212"/>
      <c r="K62" s="211"/>
      <c r="L62" s="218"/>
      <c r="M62" s="211">
        <f t="shared" si="4"/>
        <v>0</v>
      </c>
      <c r="N62" s="211"/>
      <c r="O62" s="211"/>
      <c r="P62" s="211"/>
    </row>
    <row r="63" spans="1:16">
      <c r="A63" s="209">
        <v>6371</v>
      </c>
      <c r="B63" s="210"/>
      <c r="C63" s="214"/>
      <c r="D63" s="211"/>
      <c r="E63" s="211">
        <f t="shared" si="6"/>
        <v>0</v>
      </c>
      <c r="F63" s="211"/>
      <c r="G63" s="212"/>
      <c r="H63" s="217"/>
      <c r="I63" s="217"/>
      <c r="J63" s="212"/>
      <c r="K63" s="211"/>
      <c r="L63" s="218"/>
      <c r="M63" s="211">
        <f t="shared" si="4"/>
        <v>0</v>
      </c>
      <c r="N63" s="211"/>
      <c r="O63" s="211"/>
      <c r="P63" s="211"/>
    </row>
    <row r="64" spans="1:16">
      <c r="A64" s="209">
        <v>6412</v>
      </c>
      <c r="B64" s="210"/>
      <c r="C64" s="214"/>
      <c r="E64" s="211">
        <f>+C64</f>
        <v>0</v>
      </c>
      <c r="F64" s="211"/>
      <c r="G64" s="212"/>
      <c r="H64" s="217"/>
      <c r="I64" s="217"/>
      <c r="J64" s="212"/>
      <c r="K64" s="211"/>
      <c r="L64" s="218"/>
      <c r="M64" s="211">
        <f t="shared" si="4"/>
        <v>0</v>
      </c>
      <c r="N64" s="211"/>
      <c r="O64" s="211"/>
      <c r="P64" s="211"/>
    </row>
    <row r="65" spans="1:17">
      <c r="A65" s="209">
        <v>6511</v>
      </c>
      <c r="B65" s="210"/>
      <c r="C65" s="214">
        <f>+'MAY SETIEMBRE'!E609</f>
        <v>2252.0099999999998</v>
      </c>
      <c r="D65" s="211"/>
      <c r="E65" s="211">
        <f>+C65-D65</f>
        <v>2252.0099999999998</v>
      </c>
      <c r="F65" s="211"/>
      <c r="G65" s="212"/>
      <c r="H65" s="217"/>
      <c r="I65" s="217"/>
      <c r="J65" s="212"/>
      <c r="K65" s="211"/>
      <c r="L65" s="218"/>
      <c r="M65" s="211">
        <f t="shared" si="4"/>
        <v>2252.0099999999998</v>
      </c>
      <c r="N65" s="211"/>
      <c r="O65" s="211"/>
      <c r="P65" s="211"/>
    </row>
    <row r="66" spans="1:17">
      <c r="A66" s="209">
        <v>6592</v>
      </c>
      <c r="B66" s="210"/>
      <c r="C66" s="214">
        <f>+'MAY SETIEMBRE'!E622</f>
        <v>34366</v>
      </c>
      <c r="D66" s="211"/>
      <c r="E66" s="211">
        <f>+C66-D66</f>
        <v>34366</v>
      </c>
      <c r="F66" s="211"/>
      <c r="G66" s="212"/>
      <c r="H66" s="217"/>
      <c r="I66" s="217"/>
      <c r="J66" s="212"/>
      <c r="K66" s="211"/>
      <c r="L66" s="218"/>
      <c r="M66" s="211">
        <f t="shared" si="4"/>
        <v>34366</v>
      </c>
      <c r="N66" s="211"/>
      <c r="O66" s="211"/>
      <c r="P66" s="211"/>
    </row>
    <row r="67" spans="1:17">
      <c r="A67" s="209">
        <v>6593</v>
      </c>
      <c r="B67" s="210"/>
      <c r="C67" s="214">
        <f>+'MAY SETIEMBRE'!E635</f>
        <v>183169.07</v>
      </c>
      <c r="D67" s="211"/>
      <c r="E67" s="211">
        <f>+C67-D67</f>
        <v>183169.07</v>
      </c>
      <c r="F67" s="211"/>
      <c r="G67" s="212"/>
      <c r="H67" s="217"/>
      <c r="I67" s="217"/>
      <c r="J67" s="212"/>
      <c r="K67" s="211"/>
      <c r="L67" s="210"/>
      <c r="M67" s="211">
        <f t="shared" si="4"/>
        <v>183169.07</v>
      </c>
      <c r="N67" s="211"/>
      <c r="O67" s="211"/>
      <c r="P67" s="211"/>
    </row>
    <row r="68" spans="1:17">
      <c r="A68" s="209">
        <v>6611</v>
      </c>
      <c r="B68" s="210"/>
      <c r="C68" s="214"/>
      <c r="D68" s="211"/>
      <c r="E68" s="211">
        <f>+C68-D68</f>
        <v>0</v>
      </c>
      <c r="F68" s="211"/>
      <c r="G68" s="212"/>
      <c r="H68" s="217"/>
      <c r="I68" s="217"/>
      <c r="J68" s="212"/>
      <c r="K68" s="211"/>
      <c r="L68" s="210"/>
      <c r="M68" s="211">
        <f t="shared" si="4"/>
        <v>0</v>
      </c>
      <c r="N68" s="211"/>
      <c r="O68" s="211"/>
      <c r="P68" s="211"/>
    </row>
    <row r="69" spans="1:17">
      <c r="A69" s="209">
        <v>6731</v>
      </c>
      <c r="B69" s="210"/>
      <c r="C69" s="214">
        <f>+'MAY SETIEMBRE'!E649</f>
        <v>64714.599289999998</v>
      </c>
      <c r="D69" s="211"/>
      <c r="E69" s="211">
        <f>+C69-D69</f>
        <v>64714.599289999998</v>
      </c>
      <c r="F69" s="211"/>
      <c r="G69" s="212"/>
      <c r="H69" s="217"/>
      <c r="I69" s="217"/>
      <c r="J69" s="212"/>
      <c r="K69" s="211"/>
      <c r="L69" s="210"/>
      <c r="M69" s="211">
        <f>+E69</f>
        <v>64714.599289999998</v>
      </c>
      <c r="N69" s="211"/>
      <c r="O69" s="211">
        <f>+E69</f>
        <v>64714.599289999998</v>
      </c>
      <c r="P69" s="211"/>
    </row>
    <row r="70" spans="1:17">
      <c r="A70" s="209">
        <v>681</v>
      </c>
      <c r="B70" s="210"/>
      <c r="C70" s="214"/>
      <c r="D70" s="211"/>
      <c r="E70" s="211">
        <f>+C70</f>
        <v>0</v>
      </c>
      <c r="F70" s="211"/>
      <c r="G70" s="212"/>
      <c r="H70" s="217"/>
      <c r="I70" s="217"/>
      <c r="J70" s="212"/>
      <c r="K70" s="206"/>
      <c r="L70" s="210"/>
      <c r="M70" s="211">
        <f t="shared" si="4"/>
        <v>0</v>
      </c>
      <c r="N70" s="211"/>
      <c r="O70" s="211"/>
      <c r="P70" s="211"/>
    </row>
    <row r="71" spans="1:17">
      <c r="A71" s="209"/>
      <c r="B71" s="210"/>
      <c r="C71" s="211"/>
      <c r="D71" s="218"/>
      <c r="E71" s="211"/>
      <c r="F71" s="211"/>
      <c r="G71" s="212">
        <v>1</v>
      </c>
      <c r="H71" s="217">
        <f>+E101</f>
        <v>0</v>
      </c>
      <c r="I71" s="217">
        <f>+H71</f>
        <v>0</v>
      </c>
      <c r="J71" s="212">
        <v>2</v>
      </c>
      <c r="K71" s="206"/>
      <c r="L71" s="211"/>
      <c r="M71" s="211"/>
      <c r="N71" s="211"/>
      <c r="O71" s="211">
        <f>+I71</f>
        <v>0</v>
      </c>
      <c r="P71" s="211"/>
    </row>
    <row r="72" spans="1:17">
      <c r="A72" s="209">
        <v>7011</v>
      </c>
      <c r="B72" s="210"/>
      <c r="C72" s="218"/>
      <c r="D72" s="214">
        <f>+'MAY SETIEMBRE'!F662</f>
        <v>3306255.5400000005</v>
      </c>
      <c r="E72" s="211"/>
      <c r="F72" s="211">
        <f>+D72-C72</f>
        <v>3306255.5400000005</v>
      </c>
      <c r="G72" s="212"/>
      <c r="H72" s="217"/>
      <c r="I72" s="217"/>
      <c r="J72" s="212"/>
      <c r="K72" s="206"/>
      <c r="L72" s="211"/>
      <c r="M72" s="211"/>
      <c r="N72" s="211">
        <f>+F72</f>
        <v>3306255.5400000005</v>
      </c>
      <c r="O72" s="211"/>
      <c r="P72" s="211">
        <f>+F72</f>
        <v>3306255.5400000005</v>
      </c>
    </row>
    <row r="73" spans="1:17">
      <c r="A73" s="209">
        <v>7791</v>
      </c>
      <c r="B73" s="210"/>
      <c r="C73" s="218"/>
      <c r="D73" s="214"/>
      <c r="E73" s="211"/>
      <c r="F73" s="211">
        <f>+D73</f>
        <v>0</v>
      </c>
      <c r="G73" s="212"/>
      <c r="H73" s="217"/>
      <c r="I73" s="217"/>
      <c r="J73" s="212"/>
      <c r="K73" s="206"/>
      <c r="L73" s="211"/>
      <c r="M73" s="211"/>
      <c r="N73" s="211"/>
      <c r="O73" s="211"/>
      <c r="P73" s="211"/>
    </row>
    <row r="74" spans="1:17">
      <c r="A74" s="221">
        <v>7911</v>
      </c>
      <c r="B74" s="222"/>
      <c r="C74" s="223"/>
      <c r="D74" s="224">
        <f>+'MAY SETIEMBRE'!F677</f>
        <v>486332.60320000001</v>
      </c>
      <c r="E74" s="223"/>
      <c r="F74" s="223">
        <f>+D74</f>
        <v>486332.60320000001</v>
      </c>
      <c r="G74" s="225"/>
      <c r="H74" s="223"/>
      <c r="I74" s="223"/>
      <c r="J74" s="225"/>
      <c r="K74" s="226"/>
      <c r="L74" s="223"/>
      <c r="M74" s="223"/>
      <c r="N74" s="223"/>
      <c r="O74" s="223"/>
      <c r="P74" s="223"/>
    </row>
    <row r="75" spans="1:17">
      <c r="A75" s="221">
        <v>9411</v>
      </c>
      <c r="B75" s="222"/>
      <c r="C75" s="224">
        <f>+'MAY SETIEMBRE'!E692</f>
        <v>486332.60320000001</v>
      </c>
      <c r="D75" s="223"/>
      <c r="E75" s="223">
        <f>+C75-D75</f>
        <v>486332.60320000001</v>
      </c>
      <c r="F75" s="223"/>
      <c r="G75" s="225"/>
      <c r="H75" s="223"/>
      <c r="I75" s="223"/>
      <c r="J75" s="225"/>
      <c r="K75" s="226"/>
      <c r="L75" s="223"/>
      <c r="M75" s="223"/>
      <c r="N75" s="223"/>
      <c r="O75" s="223">
        <f>+E75</f>
        <v>486332.60320000001</v>
      </c>
      <c r="P75" s="223"/>
    </row>
    <row r="76" spans="1:17">
      <c r="A76" s="221">
        <v>9711</v>
      </c>
      <c r="B76" s="222"/>
      <c r="C76" s="224"/>
      <c r="D76" s="223"/>
      <c r="E76" s="223">
        <f>+C76</f>
        <v>0</v>
      </c>
      <c r="F76" s="223"/>
      <c r="G76" s="225"/>
      <c r="H76" s="223"/>
      <c r="I76" s="223"/>
      <c r="J76" s="225"/>
      <c r="K76" s="226"/>
      <c r="L76" s="223"/>
      <c r="M76" s="223"/>
      <c r="N76" s="223"/>
      <c r="O76" s="223">
        <f>+E76</f>
        <v>0</v>
      </c>
      <c r="P76" s="223"/>
    </row>
    <row r="77" spans="1:17">
      <c r="A77" s="221"/>
      <c r="B77" s="222"/>
      <c r="C77" s="223"/>
      <c r="D77" s="223"/>
      <c r="E77" s="223"/>
      <c r="F77" s="223"/>
      <c r="G77" s="225"/>
      <c r="H77" s="223"/>
      <c r="I77" s="223"/>
      <c r="J77" s="225"/>
      <c r="K77" s="226"/>
      <c r="L77" s="223"/>
      <c r="M77" s="223"/>
      <c r="N77" s="223"/>
      <c r="O77" s="223"/>
      <c r="P77" s="223"/>
    </row>
    <row r="78" spans="1:17">
      <c r="A78" s="221"/>
      <c r="B78" s="227"/>
      <c r="C78" s="223">
        <f>SUM(C6:C77)</f>
        <v>24149826.932941213</v>
      </c>
      <c r="D78" s="223">
        <f>SUM(D6:D77)</f>
        <v>24149826.935691807</v>
      </c>
      <c r="E78" s="223">
        <f>SUM(E6:E76)</f>
        <v>9913236.8830217104</v>
      </c>
      <c r="F78" s="223">
        <f>SUM(F6:F76)</f>
        <v>9913236.8857723046</v>
      </c>
      <c r="G78" s="225"/>
      <c r="H78" s="223">
        <f>SUM(H6:H76)</f>
        <v>0</v>
      </c>
      <c r="I78" s="223">
        <f>SUM(I6:I76)</f>
        <v>0</v>
      </c>
      <c r="J78" s="225"/>
      <c r="K78" s="223">
        <f t="shared" ref="K78:P78" si="7">SUM(K6:K76)</f>
        <v>5838044.2012567092</v>
      </c>
      <c r="L78" s="223">
        <f t="shared" si="7"/>
        <v>3082835.8664973052</v>
      </c>
      <c r="M78" s="223">
        <f t="shared" si="7"/>
        <v>3588860.0785649992</v>
      </c>
      <c r="N78" s="223">
        <f t="shared" si="7"/>
        <v>6344068.4160750005</v>
      </c>
      <c r="O78" s="223">
        <f t="shared" si="7"/>
        <v>551047.20249000005</v>
      </c>
      <c r="P78" s="223">
        <f t="shared" si="7"/>
        <v>3306255.5400000005</v>
      </c>
    </row>
    <row r="79" spans="1:17">
      <c r="A79" s="222"/>
      <c r="B79" s="222"/>
      <c r="C79" s="227"/>
      <c r="D79" s="227"/>
      <c r="E79" s="227"/>
      <c r="F79" s="227"/>
      <c r="G79" s="225"/>
      <c r="H79" s="227"/>
      <c r="I79" s="227"/>
      <c r="J79" s="225"/>
      <c r="K79" s="227"/>
      <c r="L79" s="217">
        <f>+K78-L78</f>
        <v>2755208.334759404</v>
      </c>
      <c r="M79" s="217">
        <f>+N78-M78</f>
        <v>2755208.3375100014</v>
      </c>
      <c r="N79" s="217"/>
      <c r="O79" s="217">
        <f>+P78-O78</f>
        <v>2755208.3375100004</v>
      </c>
      <c r="P79" s="217"/>
      <c r="Q79" s="92"/>
    </row>
    <row r="80" spans="1:17" ht="13.5" thickBot="1">
      <c r="A80" s="222"/>
      <c r="B80" s="228"/>
      <c r="C80" s="229"/>
      <c r="D80" s="229">
        <f>+C78-D78</f>
        <v>-2.7505941689014435E-3</v>
      </c>
      <c r="E80" s="229"/>
      <c r="F80" s="229">
        <f>+E78-F78</f>
        <v>-2.7505941689014435E-3</v>
      </c>
      <c r="G80" s="225"/>
      <c r="H80" s="229"/>
      <c r="I80" s="229"/>
      <c r="J80" s="225"/>
      <c r="K80" s="230">
        <f t="shared" ref="K80:P80" si="8">SUM(K78:K79)</f>
        <v>5838044.2012567092</v>
      </c>
      <c r="L80" s="230">
        <f t="shared" si="8"/>
        <v>5838044.2012567092</v>
      </c>
      <c r="M80" s="230">
        <f t="shared" si="8"/>
        <v>6344068.4160750005</v>
      </c>
      <c r="N80" s="230">
        <f t="shared" si="8"/>
        <v>6344068.4160750005</v>
      </c>
      <c r="O80" s="230">
        <f t="shared" si="8"/>
        <v>3306255.5400000005</v>
      </c>
      <c r="P80" s="230">
        <f t="shared" si="8"/>
        <v>3306255.5400000005</v>
      </c>
    </row>
    <row r="82" spans="3:17">
      <c r="C82" s="92"/>
      <c r="O82" s="92"/>
      <c r="Q82" s="92"/>
    </row>
    <row r="83" spans="3:17">
      <c r="C83" s="92"/>
      <c r="L83" s="92"/>
    </row>
    <row r="89" spans="3:17">
      <c r="C89" s="92"/>
    </row>
    <row r="91" spans="3:17">
      <c r="C91" s="92"/>
    </row>
  </sheetData>
  <mergeCells count="6">
    <mergeCell ref="C4:D4"/>
    <mergeCell ref="E4:F4"/>
    <mergeCell ref="H4:I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K18:K26"/>
  <sheetViews>
    <sheetView workbookViewId="0">
      <selection activeCell="I18" sqref="I18"/>
    </sheetView>
  </sheetViews>
  <sheetFormatPr baseColWidth="10" defaultRowHeight="12.75"/>
  <sheetData>
    <row r="18" spans="11:11">
      <c r="K18" s="183"/>
    </row>
    <row r="19" spans="11:11">
      <c r="K19" s="183"/>
    </row>
    <row r="20" spans="11:11">
      <c r="K20" s="183"/>
    </row>
    <row r="21" spans="11:11">
      <c r="K21" s="183"/>
    </row>
    <row r="22" spans="11:11">
      <c r="K22" s="183"/>
    </row>
    <row r="23" spans="11:11">
      <c r="K23" s="183"/>
    </row>
    <row r="24" spans="11:11">
      <c r="K24" s="183"/>
    </row>
    <row r="25" spans="11:11">
      <c r="K25" s="183"/>
    </row>
    <row r="26" spans="11:11">
      <c r="K26" s="1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DIARIO</vt:lpstr>
      <vt:lpstr>BANCOS</vt:lpstr>
      <vt:lpstr>CAJA</vt:lpstr>
      <vt:lpstr>MAY SETIEMBRE</vt:lpstr>
      <vt:lpstr>hw</vt:lpstr>
      <vt:lpstr>Hoja1</vt:lpstr>
    </vt:vector>
  </TitlesOfParts>
  <Company>SUNAT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SUNAT</dc:creator>
  <cp:lastModifiedBy>Percy</cp:lastModifiedBy>
  <dcterms:created xsi:type="dcterms:W3CDTF">2010-01-06T00:03:06Z</dcterms:created>
  <dcterms:modified xsi:type="dcterms:W3CDTF">2013-12-30T22:19:30Z</dcterms:modified>
</cp:coreProperties>
</file>