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unn\Documents\Projects\Avro_ProtoBuf_JSON\avroProtobuf\"/>
    </mc:Choice>
  </mc:AlternateContent>
  <xr:revisionPtr revIDLastSave="0" documentId="13_ncr:1_{964298EE-5541-481B-A3CB-E4B1A61A39D7}" xr6:coauthVersionLast="47" xr6:coauthVersionMax="47" xr10:uidLastSave="{00000000-0000-0000-0000-000000000000}"/>
  <bookViews>
    <workbookView xWindow="-120" yWindow="-120" windowWidth="29040" windowHeight="15990" xr2:uid="{AB11A5FF-B40F-4FD4-9FC8-4994D553524F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M8" i="1" s="1"/>
  <c r="F17" i="1"/>
  <c r="F18" i="1"/>
  <c r="F19" i="1"/>
  <c r="F20" i="1"/>
  <c r="M12" i="1" s="1"/>
  <c r="F21" i="1"/>
  <c r="M13" i="1"/>
  <c r="F32" i="1"/>
  <c r="Q13" i="1"/>
  <c r="F31" i="1"/>
  <c r="Q12" i="1" s="1"/>
  <c r="F29" i="1"/>
  <c r="F28" i="1"/>
  <c r="F27" i="1"/>
  <c r="F59" i="1"/>
  <c r="G31" i="1"/>
  <c r="G63" i="1" s="1"/>
  <c r="H31" i="1"/>
  <c r="F30" i="1"/>
  <c r="Q11" i="1" s="1"/>
  <c r="Q10" i="1"/>
  <c r="Q9" i="1"/>
  <c r="M11" i="1"/>
  <c r="M10" i="1"/>
  <c r="M9" i="1"/>
  <c r="B58" i="3"/>
  <c r="B57" i="3"/>
  <c r="B56" i="3"/>
  <c r="B55" i="3"/>
  <c r="D59" i="1"/>
  <c r="G59" i="1"/>
  <c r="D60" i="1"/>
  <c r="F60" i="1"/>
  <c r="G60" i="1"/>
  <c r="D61" i="1"/>
  <c r="F61" i="1"/>
  <c r="G61" i="1"/>
  <c r="D62" i="1"/>
  <c r="G62" i="1"/>
  <c r="D63" i="1"/>
  <c r="D64" i="1"/>
  <c r="G64" i="1"/>
  <c r="C60" i="1"/>
  <c r="C61" i="1"/>
  <c r="C62" i="1"/>
  <c r="C63" i="1"/>
  <c r="C64" i="1"/>
  <c r="C59" i="1"/>
  <c r="D48" i="1"/>
  <c r="G48" i="1"/>
  <c r="D49" i="1"/>
  <c r="F49" i="1"/>
  <c r="G49" i="1"/>
  <c r="D50" i="1"/>
  <c r="F50" i="1"/>
  <c r="G50" i="1"/>
  <c r="D51" i="1"/>
  <c r="F51" i="1"/>
  <c r="G51" i="1"/>
  <c r="D52" i="1"/>
  <c r="G52" i="1"/>
  <c r="D53" i="1"/>
  <c r="G53" i="1"/>
  <c r="C49" i="1"/>
  <c r="C50" i="1"/>
  <c r="C51" i="1"/>
  <c r="C52" i="1"/>
  <c r="C53" i="1"/>
  <c r="C48" i="1"/>
  <c r="F37" i="1"/>
  <c r="D38" i="1"/>
  <c r="D39" i="1"/>
  <c r="G40" i="1"/>
  <c r="F41" i="1"/>
  <c r="C32" i="1"/>
  <c r="C31" i="1"/>
  <c r="C30" i="1"/>
  <c r="C29" i="1"/>
  <c r="C28" i="1"/>
  <c r="C27" i="1"/>
  <c r="C21" i="1"/>
  <c r="C20" i="1"/>
  <c r="C19" i="1"/>
  <c r="C18" i="1"/>
  <c r="C17" i="1"/>
  <c r="C16" i="1"/>
  <c r="F10" i="1"/>
  <c r="F42" i="1" s="1"/>
  <c r="F9" i="1"/>
  <c r="F8" i="1"/>
  <c r="F40" i="1" s="1"/>
  <c r="F7" i="1"/>
  <c r="F39" i="1" s="1"/>
  <c r="F6" i="1"/>
  <c r="F38" i="1" s="1"/>
  <c r="F5" i="1"/>
  <c r="C10" i="1"/>
  <c r="C42" i="1" s="1"/>
  <c r="C9" i="1"/>
  <c r="C41" i="1" s="1"/>
  <c r="C8" i="1"/>
  <c r="C40" i="1" s="1"/>
  <c r="C7" i="1"/>
  <c r="C39" i="1" s="1"/>
  <c r="C6" i="1"/>
  <c r="C38" i="1" s="1"/>
  <c r="C5" i="1"/>
  <c r="C37" i="1" s="1"/>
  <c r="D5" i="1"/>
  <c r="D37" i="1" s="1"/>
  <c r="G32" i="1"/>
  <c r="G30" i="1"/>
  <c r="G29" i="1"/>
  <c r="G28" i="1"/>
  <c r="G27" i="1"/>
  <c r="D32" i="1"/>
  <c r="D31" i="1"/>
  <c r="D30" i="1"/>
  <c r="D29" i="1"/>
  <c r="D28" i="1"/>
  <c r="D27" i="1"/>
  <c r="G21" i="1"/>
  <c r="G20" i="1"/>
  <c r="G19" i="1"/>
  <c r="G18" i="1"/>
  <c r="G17" i="1"/>
  <c r="G16" i="1"/>
  <c r="D21" i="1"/>
  <c r="D20" i="1"/>
  <c r="D19" i="1"/>
  <c r="D18" i="1"/>
  <c r="D17" i="1"/>
  <c r="D16" i="1"/>
  <c r="D10" i="1"/>
  <c r="D42" i="1" s="1"/>
  <c r="D9" i="1"/>
  <c r="D41" i="1" s="1"/>
  <c r="D8" i="1"/>
  <c r="D40" i="1" s="1"/>
  <c r="D7" i="1"/>
  <c r="D6" i="1"/>
  <c r="G10" i="1"/>
  <c r="G42" i="1" s="1"/>
  <c r="G9" i="1"/>
  <c r="G41" i="1" s="1"/>
  <c r="G8" i="1"/>
  <c r="G7" i="1"/>
  <c r="G39" i="1" s="1"/>
  <c r="G6" i="1"/>
  <c r="G38" i="1" s="1"/>
  <c r="G5" i="1"/>
  <c r="G37" i="1" s="1"/>
  <c r="B388" i="3"/>
  <c r="B387" i="3"/>
  <c r="B386" i="3"/>
  <c r="B371" i="3"/>
  <c r="B356" i="3"/>
  <c r="B355" i="3"/>
  <c r="B354" i="3"/>
  <c r="B353" i="3"/>
  <c r="B341" i="3"/>
  <c r="B340" i="3"/>
  <c r="B331" i="3"/>
  <c r="B330" i="3"/>
  <c r="B318" i="3"/>
  <c r="B297" i="3"/>
  <c r="B286" i="3"/>
  <c r="B285" i="3"/>
  <c r="C396" i="3"/>
  <c r="D392" i="3" s="1"/>
  <c r="E392" i="3" s="1"/>
  <c r="C383" i="3"/>
  <c r="D379" i="3" s="1"/>
  <c r="E379" i="3" s="1"/>
  <c r="C376" i="3"/>
  <c r="D374" i="3" s="1"/>
  <c r="E374" i="3" s="1"/>
  <c r="C367" i="3"/>
  <c r="D356" i="3" s="1"/>
  <c r="C349" i="3"/>
  <c r="D348" i="3" s="1"/>
  <c r="E348" i="3" s="1"/>
  <c r="C337" i="3"/>
  <c r="D329" i="3" s="1"/>
  <c r="E329" i="3" s="1"/>
  <c r="C325" i="3"/>
  <c r="D318" i="3" s="1"/>
  <c r="C315" i="3"/>
  <c r="D306" i="3" s="1"/>
  <c r="E306" i="3" s="1"/>
  <c r="C303" i="3"/>
  <c r="D302" i="3" s="1"/>
  <c r="E302" i="3" s="1"/>
  <c r="C292" i="3"/>
  <c r="D285" i="3" s="1"/>
  <c r="D291" i="3"/>
  <c r="E291" i="3" s="1"/>
  <c r="D295" i="3"/>
  <c r="E295" i="3" s="1"/>
  <c r="D296" i="3"/>
  <c r="E296" i="3" s="1"/>
  <c r="D297" i="3"/>
  <c r="D298" i="3"/>
  <c r="E298" i="3" s="1"/>
  <c r="D299" i="3"/>
  <c r="E299" i="3" s="1"/>
  <c r="D300" i="3"/>
  <c r="E300" i="3" s="1"/>
  <c r="D301" i="3"/>
  <c r="E301" i="3" s="1"/>
  <c r="D324" i="3"/>
  <c r="E324" i="3" s="1"/>
  <c r="D328" i="3"/>
  <c r="E328" i="3" s="1"/>
  <c r="D333" i="3"/>
  <c r="E333" i="3" s="1"/>
  <c r="D334" i="3"/>
  <c r="E334" i="3" s="1"/>
  <c r="D335" i="3"/>
  <c r="E335" i="3" s="1"/>
  <c r="D354" i="3"/>
  <c r="D355" i="3"/>
  <c r="D357" i="3"/>
  <c r="E357" i="3" s="1"/>
  <c r="D358" i="3"/>
  <c r="E358" i="3" s="1"/>
  <c r="D359" i="3"/>
  <c r="E359" i="3" s="1"/>
  <c r="D365" i="3"/>
  <c r="E365" i="3" s="1"/>
  <c r="D366" i="3"/>
  <c r="E366" i="3" s="1"/>
  <c r="D371" i="3"/>
  <c r="E371" i="3" s="1"/>
  <c r="D372" i="3"/>
  <c r="E372" i="3" s="1"/>
  <c r="D373" i="3"/>
  <c r="E373" i="3" s="1"/>
  <c r="D390" i="3"/>
  <c r="E390" i="3" s="1"/>
  <c r="D391" i="3"/>
  <c r="E391" i="3" s="1"/>
  <c r="D369" i="3"/>
  <c r="E369" i="3" s="1"/>
  <c r="D351" i="3"/>
  <c r="E351" i="3" s="1"/>
  <c r="D327" i="3"/>
  <c r="E327" i="3" s="1"/>
  <c r="D317" i="3"/>
  <c r="E317" i="3" s="1"/>
  <c r="D305" i="3"/>
  <c r="E305" i="3" s="1"/>
  <c r="D294" i="3"/>
  <c r="E294" i="3" s="1"/>
  <c r="D284" i="3"/>
  <c r="E284" i="3" s="1"/>
  <c r="B276" i="3"/>
  <c r="B275" i="3"/>
  <c r="B274" i="3"/>
  <c r="B273" i="3"/>
  <c r="C282" i="3"/>
  <c r="D272" i="3" s="1"/>
  <c r="E272" i="3" s="1"/>
  <c r="B265" i="3"/>
  <c r="B264" i="3"/>
  <c r="B263" i="3"/>
  <c r="B262" i="3"/>
  <c r="C270" i="3"/>
  <c r="D262" i="3" s="1"/>
  <c r="B256" i="3"/>
  <c r="B255" i="3"/>
  <c r="B254" i="3"/>
  <c r="B253" i="3"/>
  <c r="B252" i="3"/>
  <c r="C259" i="3"/>
  <c r="D255" i="3" s="1"/>
  <c r="B243" i="3"/>
  <c r="B242" i="3"/>
  <c r="C249" i="3"/>
  <c r="D241" i="3" s="1"/>
  <c r="E241" i="3" s="1"/>
  <c r="B232" i="3"/>
  <c r="B231" i="3"/>
  <c r="B230" i="3"/>
  <c r="C239" i="3"/>
  <c r="D231" i="3" s="1"/>
  <c r="B224" i="3"/>
  <c r="B223" i="3"/>
  <c r="B222" i="3"/>
  <c r="B221" i="3"/>
  <c r="C227" i="3"/>
  <c r="D220" i="3" s="1"/>
  <c r="E220" i="3" s="1"/>
  <c r="C217" i="3"/>
  <c r="D215" i="3" s="1"/>
  <c r="E215" i="3" s="1"/>
  <c r="B207" i="3"/>
  <c r="B206" i="3"/>
  <c r="B205" i="3"/>
  <c r="B204" i="3"/>
  <c r="B203" i="3"/>
  <c r="C211" i="3"/>
  <c r="D206" i="3" s="1"/>
  <c r="C200" i="3"/>
  <c r="D190" i="3" s="1"/>
  <c r="E190" i="3" s="1"/>
  <c r="B192" i="3"/>
  <c r="C186" i="3"/>
  <c r="D181" i="3" s="1"/>
  <c r="E181" i="3" s="1"/>
  <c r="B182" i="3"/>
  <c r="B175" i="3"/>
  <c r="B174" i="3"/>
  <c r="B173" i="3"/>
  <c r="B172" i="3"/>
  <c r="B171" i="3"/>
  <c r="B170" i="3"/>
  <c r="B169" i="3"/>
  <c r="C178" i="3"/>
  <c r="D175" i="3" s="1"/>
  <c r="B164" i="3"/>
  <c r="B163" i="3"/>
  <c r="B162" i="3"/>
  <c r="B161" i="3"/>
  <c r="B160" i="3"/>
  <c r="B159" i="3"/>
  <c r="B158" i="3"/>
  <c r="C166" i="3"/>
  <c r="D160" i="3" s="1"/>
  <c r="B151" i="3"/>
  <c r="B150" i="3"/>
  <c r="B149" i="3"/>
  <c r="B148" i="3"/>
  <c r="C155" i="3"/>
  <c r="D152" i="3" s="1"/>
  <c r="E152" i="3" s="1"/>
  <c r="C145" i="3"/>
  <c r="D137" i="3" s="1"/>
  <c r="E137" i="3" s="1"/>
  <c r="B138" i="3"/>
  <c r="B129" i="3"/>
  <c r="B128" i="3"/>
  <c r="B127" i="3"/>
  <c r="B126" i="3"/>
  <c r="C135" i="3"/>
  <c r="D127" i="3" s="1"/>
  <c r="B117" i="3"/>
  <c r="C123" i="3"/>
  <c r="D122" i="3" s="1"/>
  <c r="E122" i="3" s="1"/>
  <c r="B108" i="3"/>
  <c r="B107" i="3"/>
  <c r="C114" i="3"/>
  <c r="D108" i="3" s="1"/>
  <c r="B100" i="3"/>
  <c r="B99" i="3"/>
  <c r="B98" i="3"/>
  <c r="B97" i="3"/>
  <c r="B96" i="3"/>
  <c r="C104" i="3"/>
  <c r="D97" i="3" s="1"/>
  <c r="C92" i="3"/>
  <c r="D79" i="3" s="1"/>
  <c r="E79" i="3" s="1"/>
  <c r="B82" i="3"/>
  <c r="B81" i="3"/>
  <c r="B80" i="3"/>
  <c r="C75" i="3"/>
  <c r="D72" i="3" s="1"/>
  <c r="B72" i="3"/>
  <c r="B71" i="3"/>
  <c r="B70" i="3"/>
  <c r="B69" i="3"/>
  <c r="B68" i="3"/>
  <c r="B47" i="3"/>
  <c r="B46" i="3"/>
  <c r="B45" i="3"/>
  <c r="B44" i="3"/>
  <c r="C52" i="3"/>
  <c r="D44" i="3" s="1"/>
  <c r="C40" i="3"/>
  <c r="D33" i="3" s="1"/>
  <c r="E33" i="3" s="1"/>
  <c r="B35" i="3"/>
  <c r="B34" i="3"/>
  <c r="C30" i="3"/>
  <c r="D23" i="3" s="1"/>
  <c r="E23" i="3" s="1"/>
  <c r="B25" i="3"/>
  <c r="B16" i="3"/>
  <c r="B15" i="3"/>
  <c r="B14" i="3"/>
  <c r="C21" i="3"/>
  <c r="D15" i="3" s="1"/>
  <c r="C12" i="3"/>
  <c r="B4" i="3"/>
  <c r="B3" i="3"/>
  <c r="B2" i="3"/>
  <c r="G5" i="2"/>
  <c r="W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V5" i="2"/>
  <c r="T5" i="2"/>
  <c r="S5" i="2"/>
  <c r="R5" i="2"/>
  <c r="Q5" i="2"/>
  <c r="C65" i="3" s="1"/>
  <c r="P5" i="2"/>
  <c r="O5" i="2"/>
  <c r="N5" i="2"/>
  <c r="M5" i="2"/>
  <c r="L5" i="2"/>
  <c r="K5" i="2"/>
  <c r="J5" i="2"/>
  <c r="I5" i="2"/>
  <c r="H5" i="2"/>
  <c r="F5" i="2"/>
  <c r="E5" i="2"/>
  <c r="D5" i="2"/>
  <c r="C5" i="2"/>
  <c r="B5" i="2"/>
  <c r="U5" i="2"/>
  <c r="O13" i="1"/>
  <c r="O12" i="1"/>
  <c r="O11" i="1"/>
  <c r="O10" i="1"/>
  <c r="O9" i="1"/>
  <c r="O8" i="1"/>
  <c r="K13" i="1"/>
  <c r="K12" i="1"/>
  <c r="K11" i="1"/>
  <c r="K10" i="1"/>
  <c r="K9" i="1"/>
  <c r="K8" i="1"/>
  <c r="F52" i="1" l="1"/>
  <c r="F53" i="1"/>
  <c r="F64" i="1"/>
  <c r="F63" i="1"/>
  <c r="Q8" i="1"/>
  <c r="F62" i="1"/>
  <c r="D60" i="3"/>
  <c r="E60" i="3" s="1"/>
  <c r="D55" i="3"/>
  <c r="E55" i="3" s="1"/>
  <c r="D56" i="3"/>
  <c r="E56" i="3" s="1"/>
  <c r="D57" i="3"/>
  <c r="E57" i="3" s="1"/>
  <c r="D58" i="3"/>
  <c r="E58" i="3" s="1"/>
  <c r="D59" i="3"/>
  <c r="E59" i="3" s="1"/>
  <c r="F48" i="1"/>
  <c r="D225" i="3"/>
  <c r="E225" i="3" s="1"/>
  <c r="D287" i="3"/>
  <c r="E287" i="3" s="1"/>
  <c r="D290" i="3"/>
  <c r="E290" i="3" s="1"/>
  <c r="D289" i="3"/>
  <c r="E289" i="3" s="1"/>
  <c r="D288" i="3"/>
  <c r="E288" i="3" s="1"/>
  <c r="E356" i="3"/>
  <c r="D364" i="3"/>
  <c r="E364" i="3" s="1"/>
  <c r="D353" i="3"/>
  <c r="E353" i="3" s="1"/>
  <c r="D331" i="3"/>
  <c r="E331" i="3" s="1"/>
  <c r="D320" i="3"/>
  <c r="E320" i="3" s="1"/>
  <c r="D323" i="3"/>
  <c r="E323" i="3" s="1"/>
  <c r="D322" i="3"/>
  <c r="E322" i="3" s="1"/>
  <c r="E318" i="3"/>
  <c r="D332" i="3"/>
  <c r="E332" i="3" s="1"/>
  <c r="D361" i="3"/>
  <c r="E361" i="3" s="1"/>
  <c r="D352" i="3"/>
  <c r="E352" i="3" s="1"/>
  <c r="D330" i="3"/>
  <c r="D319" i="3"/>
  <c r="E319" i="3" s="1"/>
  <c r="E297" i="3"/>
  <c r="F294" i="3" s="1"/>
  <c r="W7" i="2" s="1"/>
  <c r="H20" i="1" s="1"/>
  <c r="H52" i="1" s="1"/>
  <c r="D310" i="3"/>
  <c r="E310" i="3" s="1"/>
  <c r="E354" i="3"/>
  <c r="D321" i="3"/>
  <c r="E321" i="3" s="1"/>
  <c r="D360" i="3"/>
  <c r="E360" i="3" s="1"/>
  <c r="D336" i="3"/>
  <c r="E336" i="3" s="1"/>
  <c r="E355" i="3"/>
  <c r="E330" i="3"/>
  <c r="E285" i="3"/>
  <c r="D385" i="3"/>
  <c r="E385" i="3" s="1"/>
  <c r="D389" i="3"/>
  <c r="E389" i="3" s="1"/>
  <c r="D394" i="3"/>
  <c r="E394" i="3" s="1"/>
  <c r="D393" i="3"/>
  <c r="E393" i="3" s="1"/>
  <c r="D386" i="3"/>
  <c r="E386" i="3" s="1"/>
  <c r="D395" i="3"/>
  <c r="E395" i="3" s="1"/>
  <c r="D387" i="3"/>
  <c r="E387" i="3" s="1"/>
  <c r="D388" i="3"/>
  <c r="E388" i="3" s="1"/>
  <c r="D382" i="3"/>
  <c r="E382" i="3" s="1"/>
  <c r="D381" i="3"/>
  <c r="E381" i="3" s="1"/>
  <c r="D378" i="3"/>
  <c r="E378" i="3" s="1"/>
  <c r="D380" i="3"/>
  <c r="E380" i="3" s="1"/>
  <c r="D370" i="3"/>
  <c r="E370" i="3" s="1"/>
  <c r="D375" i="3"/>
  <c r="E375" i="3" s="1"/>
  <c r="D363" i="3"/>
  <c r="E363" i="3" s="1"/>
  <c r="D362" i="3"/>
  <c r="E362" i="3" s="1"/>
  <c r="D343" i="3"/>
  <c r="E343" i="3" s="1"/>
  <c r="D347" i="3"/>
  <c r="E347" i="3" s="1"/>
  <c r="D342" i="3"/>
  <c r="E342" i="3" s="1"/>
  <c r="D346" i="3"/>
  <c r="E346" i="3" s="1"/>
  <c r="D341" i="3"/>
  <c r="E341" i="3" s="1"/>
  <c r="D345" i="3"/>
  <c r="E345" i="3" s="1"/>
  <c r="D339" i="3"/>
  <c r="E339" i="3" s="1"/>
  <c r="D344" i="3"/>
  <c r="E344" i="3" s="1"/>
  <c r="D340" i="3"/>
  <c r="E340" i="3" s="1"/>
  <c r="D314" i="3"/>
  <c r="E314" i="3" s="1"/>
  <c r="D309" i="3"/>
  <c r="E309" i="3" s="1"/>
  <c r="D313" i="3"/>
  <c r="E313" i="3" s="1"/>
  <c r="D308" i="3"/>
  <c r="E308" i="3" s="1"/>
  <c r="D307" i="3"/>
  <c r="E307" i="3" s="1"/>
  <c r="D312" i="3"/>
  <c r="E312" i="3" s="1"/>
  <c r="D311" i="3"/>
  <c r="E311" i="3" s="1"/>
  <c r="D286" i="3"/>
  <c r="E286" i="3" s="1"/>
  <c r="D275" i="3"/>
  <c r="E275" i="3" s="1"/>
  <c r="D278" i="3"/>
  <c r="E278" i="3" s="1"/>
  <c r="D277" i="3"/>
  <c r="E277" i="3" s="1"/>
  <c r="D276" i="3"/>
  <c r="E276" i="3" s="1"/>
  <c r="D274" i="3"/>
  <c r="E274" i="3" s="1"/>
  <c r="D281" i="3"/>
  <c r="E281" i="3" s="1"/>
  <c r="D273" i="3"/>
  <c r="E273" i="3" s="1"/>
  <c r="D244" i="3"/>
  <c r="E244" i="3" s="1"/>
  <c r="D280" i="3"/>
  <c r="E280" i="3" s="1"/>
  <c r="E262" i="3"/>
  <c r="D279" i="3"/>
  <c r="E279" i="3" s="1"/>
  <c r="D247" i="3"/>
  <c r="E247" i="3" s="1"/>
  <c r="D219" i="3"/>
  <c r="E219" i="3" s="1"/>
  <c r="E231" i="3"/>
  <c r="D226" i="3"/>
  <c r="E226" i="3" s="1"/>
  <c r="D254" i="3"/>
  <c r="E254" i="3" s="1"/>
  <c r="D253" i="3"/>
  <c r="E253" i="3" s="1"/>
  <c r="D261" i="3"/>
  <c r="E261" i="3" s="1"/>
  <c r="D264" i="3"/>
  <c r="E264" i="3" s="1"/>
  <c r="D252" i="3"/>
  <c r="E252" i="3" s="1"/>
  <c r="D269" i="3"/>
  <c r="E269" i="3" s="1"/>
  <c r="D263" i="3"/>
  <c r="E263" i="3" s="1"/>
  <c r="D251" i="3"/>
  <c r="E251" i="3" s="1"/>
  <c r="D258" i="3"/>
  <c r="E258" i="3" s="1"/>
  <c r="D268" i="3"/>
  <c r="E268" i="3" s="1"/>
  <c r="D257" i="3"/>
  <c r="E257" i="3" s="1"/>
  <c r="D267" i="3"/>
  <c r="E267" i="3" s="1"/>
  <c r="D256" i="3"/>
  <c r="E256" i="3" s="1"/>
  <c r="D266" i="3"/>
  <c r="E266" i="3" s="1"/>
  <c r="D265" i="3"/>
  <c r="E265" i="3" s="1"/>
  <c r="E255" i="3"/>
  <c r="D245" i="3"/>
  <c r="E245" i="3" s="1"/>
  <c r="D243" i="3"/>
  <c r="E243" i="3" s="1"/>
  <c r="D242" i="3"/>
  <c r="E242" i="3" s="1"/>
  <c r="D248" i="3"/>
  <c r="E248" i="3" s="1"/>
  <c r="D246" i="3"/>
  <c r="E246" i="3" s="1"/>
  <c r="E206" i="3"/>
  <c r="D223" i="3"/>
  <c r="E223" i="3" s="1"/>
  <c r="D196" i="3"/>
  <c r="E196" i="3" s="1"/>
  <c r="D144" i="3"/>
  <c r="E144" i="3" s="1"/>
  <c r="D140" i="3"/>
  <c r="E140" i="3" s="1"/>
  <c r="D222" i="3"/>
  <c r="E222" i="3" s="1"/>
  <c r="D238" i="3"/>
  <c r="E238" i="3" s="1"/>
  <c r="D229" i="3"/>
  <c r="E229" i="3" s="1"/>
  <c r="D234" i="3"/>
  <c r="E234" i="3" s="1"/>
  <c r="D233" i="3"/>
  <c r="E233" i="3" s="1"/>
  <c r="D235" i="3"/>
  <c r="E235" i="3" s="1"/>
  <c r="D232" i="3"/>
  <c r="E232" i="3" s="1"/>
  <c r="D236" i="3"/>
  <c r="E236" i="3" s="1"/>
  <c r="D230" i="3"/>
  <c r="E230" i="3" s="1"/>
  <c r="D237" i="3"/>
  <c r="E237" i="3" s="1"/>
  <c r="D205" i="3"/>
  <c r="E205" i="3" s="1"/>
  <c r="D197" i="3"/>
  <c r="E197" i="3" s="1"/>
  <c r="D224" i="3"/>
  <c r="E224" i="3" s="1"/>
  <c r="D195" i="3"/>
  <c r="E195" i="3" s="1"/>
  <c r="D173" i="3"/>
  <c r="E173" i="3" s="1"/>
  <c r="D194" i="3"/>
  <c r="E194" i="3" s="1"/>
  <c r="D172" i="3"/>
  <c r="E172" i="3" s="1"/>
  <c r="D189" i="3"/>
  <c r="E189" i="3" s="1"/>
  <c r="D221" i="3"/>
  <c r="E221" i="3" s="1"/>
  <c r="D213" i="3"/>
  <c r="E213" i="3" s="1"/>
  <c r="D216" i="3"/>
  <c r="E216" i="3" s="1"/>
  <c r="D214" i="3"/>
  <c r="E214" i="3" s="1"/>
  <c r="D203" i="3"/>
  <c r="E203" i="3" s="1"/>
  <c r="D168" i="3"/>
  <c r="E168" i="3" s="1"/>
  <c r="D188" i="3"/>
  <c r="E188" i="3" s="1"/>
  <c r="D192" i="3"/>
  <c r="E192" i="3" s="1"/>
  <c r="D208" i="3"/>
  <c r="E208" i="3" s="1"/>
  <c r="D204" i="3"/>
  <c r="E204" i="3" s="1"/>
  <c r="D202" i="3"/>
  <c r="E202" i="3" s="1"/>
  <c r="D193" i="3"/>
  <c r="E193" i="3" s="1"/>
  <c r="D209" i="3"/>
  <c r="E209" i="3" s="1"/>
  <c r="D176" i="3"/>
  <c r="E176" i="3" s="1"/>
  <c r="D199" i="3"/>
  <c r="E199" i="3" s="1"/>
  <c r="D191" i="3"/>
  <c r="E191" i="3" s="1"/>
  <c r="D207" i="3"/>
  <c r="E207" i="3" s="1"/>
  <c r="D210" i="3"/>
  <c r="E210" i="3" s="1"/>
  <c r="D151" i="3"/>
  <c r="E151" i="3" s="1"/>
  <c r="D174" i="3"/>
  <c r="E174" i="3" s="1"/>
  <c r="D198" i="3"/>
  <c r="E198" i="3" s="1"/>
  <c r="D125" i="3"/>
  <c r="E125" i="3" s="1"/>
  <c r="D171" i="3"/>
  <c r="E171" i="3" s="1"/>
  <c r="D170" i="3"/>
  <c r="E170" i="3" s="1"/>
  <c r="D177" i="3"/>
  <c r="E177" i="3" s="1"/>
  <c r="D169" i="3"/>
  <c r="E169" i="3" s="1"/>
  <c r="D185" i="3"/>
  <c r="E185" i="3" s="1"/>
  <c r="D184" i="3"/>
  <c r="E184" i="3" s="1"/>
  <c r="D183" i="3"/>
  <c r="E183" i="3" s="1"/>
  <c r="D182" i="3"/>
  <c r="E182" i="3" s="1"/>
  <c r="D180" i="3"/>
  <c r="E180" i="3" s="1"/>
  <c r="E175" i="3"/>
  <c r="D159" i="3"/>
  <c r="E159" i="3" s="1"/>
  <c r="D116" i="3"/>
  <c r="E116" i="3" s="1"/>
  <c r="D150" i="3"/>
  <c r="E150" i="3" s="1"/>
  <c r="D157" i="3"/>
  <c r="E157" i="3" s="1"/>
  <c r="D158" i="3"/>
  <c r="E158" i="3" s="1"/>
  <c r="D121" i="3"/>
  <c r="E121" i="3" s="1"/>
  <c r="D149" i="3"/>
  <c r="E149" i="3" s="1"/>
  <c r="D165" i="3"/>
  <c r="E165" i="3" s="1"/>
  <c r="D143" i="3"/>
  <c r="E143" i="3" s="1"/>
  <c r="D154" i="3"/>
  <c r="E154" i="3" s="1"/>
  <c r="D162" i="3"/>
  <c r="E162" i="3" s="1"/>
  <c r="D164" i="3"/>
  <c r="E164" i="3" s="1"/>
  <c r="D147" i="3"/>
  <c r="E147" i="3" s="1"/>
  <c r="D163" i="3"/>
  <c r="E163" i="3" s="1"/>
  <c r="D134" i="3"/>
  <c r="E134" i="3" s="1"/>
  <c r="D142" i="3"/>
  <c r="E142" i="3" s="1"/>
  <c r="D153" i="3"/>
  <c r="E153" i="3" s="1"/>
  <c r="D161" i="3"/>
  <c r="E161" i="3" s="1"/>
  <c r="D148" i="3"/>
  <c r="E148" i="3" s="1"/>
  <c r="D141" i="3"/>
  <c r="E141" i="3" s="1"/>
  <c r="E160" i="3"/>
  <c r="D120" i="3"/>
  <c r="E120" i="3" s="1"/>
  <c r="D138" i="3"/>
  <c r="E138" i="3" s="1"/>
  <c r="D119" i="3"/>
  <c r="E119" i="3" s="1"/>
  <c r="D139" i="3"/>
  <c r="E139" i="3" s="1"/>
  <c r="D117" i="3"/>
  <c r="E117" i="3" s="1"/>
  <c r="E72" i="3"/>
  <c r="D130" i="3"/>
  <c r="E130" i="3" s="1"/>
  <c r="D128" i="3"/>
  <c r="E128" i="3" s="1"/>
  <c r="D118" i="3"/>
  <c r="E118" i="3" s="1"/>
  <c r="D126" i="3"/>
  <c r="E126" i="3" s="1"/>
  <c r="E127" i="3"/>
  <c r="D27" i="3"/>
  <c r="E27" i="3" s="1"/>
  <c r="D133" i="3"/>
  <c r="E133" i="3" s="1"/>
  <c r="D132" i="3"/>
  <c r="E132" i="3" s="1"/>
  <c r="D64" i="3"/>
  <c r="E64" i="3" s="1"/>
  <c r="D131" i="3"/>
  <c r="E131" i="3" s="1"/>
  <c r="D129" i="3"/>
  <c r="E129" i="3" s="1"/>
  <c r="D54" i="3"/>
  <c r="E54" i="3" s="1"/>
  <c r="D16" i="3"/>
  <c r="E16" i="3" s="1"/>
  <c r="D42" i="3"/>
  <c r="E42" i="3" s="1"/>
  <c r="D61" i="3"/>
  <c r="E61" i="3" s="1"/>
  <c r="D39" i="3"/>
  <c r="E39" i="3" s="1"/>
  <c r="D51" i="3"/>
  <c r="E51" i="3" s="1"/>
  <c r="D25" i="3"/>
  <c r="E25" i="3" s="1"/>
  <c r="D37" i="3"/>
  <c r="E37" i="3" s="1"/>
  <c r="D47" i="3"/>
  <c r="E47" i="3" s="1"/>
  <c r="D29" i="3"/>
  <c r="E29" i="3" s="1"/>
  <c r="D91" i="3"/>
  <c r="E91" i="3" s="1"/>
  <c r="D94" i="3"/>
  <c r="E94" i="3" s="1"/>
  <c r="D36" i="3"/>
  <c r="E36" i="3" s="1"/>
  <c r="D50" i="3"/>
  <c r="E50" i="3" s="1"/>
  <c r="D103" i="3"/>
  <c r="E103" i="3" s="1"/>
  <c r="E44" i="3"/>
  <c r="D48" i="3"/>
  <c r="E48" i="3" s="1"/>
  <c r="D101" i="3"/>
  <c r="E101" i="3" s="1"/>
  <c r="D100" i="3"/>
  <c r="E100" i="3" s="1"/>
  <c r="D43" i="3"/>
  <c r="E43" i="3" s="1"/>
  <c r="D62" i="3"/>
  <c r="E62" i="3" s="1"/>
  <c r="D86" i="3"/>
  <c r="E86" i="3" s="1"/>
  <c r="D96" i="3"/>
  <c r="E96" i="3" s="1"/>
  <c r="D83" i="3"/>
  <c r="E83" i="3" s="1"/>
  <c r="D95" i="3"/>
  <c r="E95" i="3" s="1"/>
  <c r="D113" i="3"/>
  <c r="E113" i="3" s="1"/>
  <c r="D26" i="3"/>
  <c r="E26" i="3" s="1"/>
  <c r="D32" i="3"/>
  <c r="E32" i="3" s="1"/>
  <c r="D71" i="3"/>
  <c r="E71" i="3" s="1"/>
  <c r="D78" i="3"/>
  <c r="E78" i="3" s="1"/>
  <c r="D70" i="3"/>
  <c r="E70" i="3" s="1"/>
  <c r="D85" i="3"/>
  <c r="E85" i="3" s="1"/>
  <c r="D107" i="3"/>
  <c r="E107" i="3" s="1"/>
  <c r="E108" i="3"/>
  <c r="D28" i="3"/>
  <c r="E28" i="3" s="1"/>
  <c r="D38" i="3"/>
  <c r="E38" i="3" s="1"/>
  <c r="D49" i="3"/>
  <c r="E49" i="3" s="1"/>
  <c r="D63" i="3"/>
  <c r="E63" i="3" s="1"/>
  <c r="D69" i="3"/>
  <c r="E69" i="3" s="1"/>
  <c r="D77" i="3"/>
  <c r="E77" i="3" s="1"/>
  <c r="D84" i="3"/>
  <c r="E84" i="3" s="1"/>
  <c r="D102" i="3"/>
  <c r="E102" i="3" s="1"/>
  <c r="D106" i="3"/>
  <c r="E106" i="3" s="1"/>
  <c r="D68" i="3"/>
  <c r="E68" i="3" s="1"/>
  <c r="D67" i="3"/>
  <c r="E67" i="3" s="1"/>
  <c r="D35" i="3"/>
  <c r="E35" i="3" s="1"/>
  <c r="D46" i="3"/>
  <c r="E46" i="3" s="1"/>
  <c r="D74" i="3"/>
  <c r="E74" i="3" s="1"/>
  <c r="D89" i="3"/>
  <c r="E89" i="3" s="1"/>
  <c r="D81" i="3"/>
  <c r="E81" i="3" s="1"/>
  <c r="D99" i="3"/>
  <c r="E99" i="3" s="1"/>
  <c r="D111" i="3"/>
  <c r="E111" i="3" s="1"/>
  <c r="D90" i="3"/>
  <c r="E90" i="3" s="1"/>
  <c r="D82" i="3"/>
  <c r="E82" i="3" s="1"/>
  <c r="D112" i="3"/>
  <c r="E112" i="3" s="1"/>
  <c r="D24" i="3"/>
  <c r="E24" i="3" s="1"/>
  <c r="D34" i="3"/>
  <c r="E34" i="3" s="1"/>
  <c r="D45" i="3"/>
  <c r="E45" i="3" s="1"/>
  <c r="D73" i="3"/>
  <c r="E73" i="3" s="1"/>
  <c r="D88" i="3"/>
  <c r="E88" i="3" s="1"/>
  <c r="D80" i="3"/>
  <c r="E80" i="3" s="1"/>
  <c r="D98" i="3"/>
  <c r="E98" i="3" s="1"/>
  <c r="D110" i="3"/>
  <c r="E110" i="3" s="1"/>
  <c r="E15" i="3"/>
  <c r="D87" i="3"/>
  <c r="E87" i="3" s="1"/>
  <c r="D109" i="3"/>
  <c r="E109" i="3" s="1"/>
  <c r="E97" i="3"/>
  <c r="D17" i="3"/>
  <c r="E17" i="3" s="1"/>
  <c r="D18" i="3"/>
  <c r="E18" i="3" s="1"/>
  <c r="D19" i="3"/>
  <c r="E19" i="3" s="1"/>
  <c r="D20" i="3"/>
  <c r="E20" i="3" s="1"/>
  <c r="D13" i="3"/>
  <c r="E13" i="3" s="1"/>
  <c r="D14" i="3"/>
  <c r="E14" i="3" s="1"/>
  <c r="D3" i="3"/>
  <c r="E3" i="3" s="1"/>
  <c r="D9" i="3"/>
  <c r="E9" i="3" s="1"/>
  <c r="D5" i="3"/>
  <c r="E5" i="3" s="1"/>
  <c r="D6" i="3"/>
  <c r="E6" i="3" s="1"/>
  <c r="D8" i="3"/>
  <c r="E8" i="3" s="1"/>
  <c r="D1" i="3"/>
  <c r="E1" i="3" s="1"/>
  <c r="D2" i="3"/>
  <c r="E2" i="3" s="1"/>
  <c r="D10" i="3"/>
  <c r="E10" i="3" s="1"/>
  <c r="D4" i="3"/>
  <c r="E4" i="3" s="1"/>
  <c r="D7" i="3"/>
  <c r="E7" i="3" s="1"/>
  <c r="P9" i="1"/>
  <c r="L10" i="1"/>
  <c r="L13" i="1"/>
  <c r="P13" i="1"/>
  <c r="L12" i="1"/>
  <c r="N12" i="1" s="1"/>
  <c r="P12" i="1"/>
  <c r="L11" i="1"/>
  <c r="P11" i="1"/>
  <c r="P10" i="1"/>
  <c r="L9" i="1"/>
  <c r="L8" i="1"/>
  <c r="P8" i="1"/>
  <c r="N9" i="1" l="1"/>
  <c r="R11" i="1"/>
  <c r="N10" i="1"/>
  <c r="R13" i="1"/>
  <c r="R10" i="1"/>
  <c r="N8" i="1"/>
  <c r="R8" i="1"/>
  <c r="N13" i="1"/>
  <c r="N11" i="1"/>
  <c r="F378" i="3"/>
  <c r="S7" i="2" s="1"/>
  <c r="H18" i="1" s="1"/>
  <c r="H50" i="1" s="1"/>
  <c r="F327" i="3"/>
  <c r="AB7" i="2" s="1"/>
  <c r="F317" i="3"/>
  <c r="K7" i="2" s="1"/>
  <c r="H63" i="1" s="1"/>
  <c r="F385" i="3"/>
  <c r="AF7" i="2" s="1"/>
  <c r="F369" i="3"/>
  <c r="AE7" i="2" s="1"/>
  <c r="H7" i="1" s="1"/>
  <c r="H39" i="1" s="1"/>
  <c r="F351" i="3"/>
  <c r="O7" i="2" s="1"/>
  <c r="H16" i="1" s="1"/>
  <c r="H48" i="1" s="1"/>
  <c r="F339" i="3"/>
  <c r="H7" i="2" s="1"/>
  <c r="E30" i="1" s="1"/>
  <c r="E62" i="1" s="1"/>
  <c r="F305" i="3"/>
  <c r="AI7" i="2" s="1"/>
  <c r="H9" i="1" s="1"/>
  <c r="H41" i="1" s="1"/>
  <c r="F284" i="3"/>
  <c r="AK7" i="2" s="1"/>
  <c r="H10" i="1" s="1"/>
  <c r="H42" i="1" s="1"/>
  <c r="F272" i="3"/>
  <c r="AG7" i="2" s="1"/>
  <c r="H8" i="1" s="1"/>
  <c r="H40" i="1" s="1"/>
  <c r="F261" i="3"/>
  <c r="R7" i="2" s="1"/>
  <c r="E18" i="1" s="1"/>
  <c r="E50" i="1" s="1"/>
  <c r="F251" i="3"/>
  <c r="B7" i="2" s="1"/>
  <c r="E27" i="1" s="1"/>
  <c r="E59" i="1" s="1"/>
  <c r="F241" i="3"/>
  <c r="AH7" i="2" s="1"/>
  <c r="E8" i="1" s="1"/>
  <c r="E40" i="1" s="1"/>
  <c r="F188" i="3"/>
  <c r="L7" i="2" s="1"/>
  <c r="E32" i="1" s="1"/>
  <c r="E64" i="1" s="1"/>
  <c r="F229" i="3"/>
  <c r="P7" i="2" s="1"/>
  <c r="E17" i="1" s="1"/>
  <c r="E49" i="1" s="1"/>
  <c r="F219" i="3"/>
  <c r="C7" i="2" s="1"/>
  <c r="H27" i="1" s="1"/>
  <c r="H59" i="1" s="1"/>
  <c r="F213" i="3"/>
  <c r="U7" i="2" s="1"/>
  <c r="H19" i="1" s="1"/>
  <c r="H51" i="1" s="1"/>
  <c r="F168" i="3"/>
  <c r="Y7" i="2" s="1"/>
  <c r="H21" i="1" s="1"/>
  <c r="H53" i="1" s="1"/>
  <c r="F202" i="3"/>
  <c r="X7" i="2" s="1"/>
  <c r="E21" i="1" s="1"/>
  <c r="E53" i="1" s="1"/>
  <c r="F180" i="3"/>
  <c r="J7" i="2" s="1"/>
  <c r="E31" i="1" s="1"/>
  <c r="E63" i="1" s="1"/>
  <c r="F157" i="3"/>
  <c r="AA7" i="2" s="1"/>
  <c r="H5" i="1" s="1"/>
  <c r="H37" i="1" s="1"/>
  <c r="F147" i="3"/>
  <c r="T7" i="2" s="1"/>
  <c r="E19" i="1" s="1"/>
  <c r="E51" i="1" s="1"/>
  <c r="F116" i="3"/>
  <c r="F7" i="2" s="1"/>
  <c r="E29" i="1" s="1"/>
  <c r="E61" i="1" s="1"/>
  <c r="F137" i="3"/>
  <c r="AC7" i="2" s="1"/>
  <c r="H6" i="1" s="1"/>
  <c r="H38" i="1" s="1"/>
  <c r="F23" i="3"/>
  <c r="G7" i="2" s="1"/>
  <c r="H29" i="1" s="1"/>
  <c r="H61" i="1" s="1"/>
  <c r="F125" i="3"/>
  <c r="E7" i="2" s="1"/>
  <c r="H28" i="1" s="1"/>
  <c r="H60" i="1" s="1"/>
  <c r="F54" i="3"/>
  <c r="Q7" i="2" s="1"/>
  <c r="H17" i="1" s="1"/>
  <c r="H49" i="1" s="1"/>
  <c r="F32" i="3"/>
  <c r="AD7" i="2" s="1"/>
  <c r="E7" i="1" s="1"/>
  <c r="E39" i="1" s="1"/>
  <c r="F67" i="3"/>
  <c r="Z7" i="2" s="1"/>
  <c r="E5" i="1" s="1"/>
  <c r="E37" i="1" s="1"/>
  <c r="F77" i="3"/>
  <c r="N7" i="2" s="1"/>
  <c r="E16" i="1" s="1"/>
  <c r="E48" i="1" s="1"/>
  <c r="F42" i="3"/>
  <c r="D7" i="2" s="1"/>
  <c r="E28" i="1" s="1"/>
  <c r="E60" i="1" s="1"/>
  <c r="F106" i="3"/>
  <c r="AJ7" i="2" s="1"/>
  <c r="E10" i="1" s="1"/>
  <c r="E42" i="1" s="1"/>
  <c r="F94" i="3"/>
  <c r="M7" i="2" s="1"/>
  <c r="H32" i="1" s="1"/>
  <c r="H64" i="1" s="1"/>
  <c r="F13" i="3"/>
  <c r="I7" i="2" s="1"/>
  <c r="H30" i="1" s="1"/>
  <c r="H62" i="1" s="1"/>
  <c r="F2" i="3"/>
  <c r="V7" i="2" s="1"/>
  <c r="E20" i="1" s="1"/>
  <c r="E52" i="1" s="1"/>
  <c r="R12" i="1"/>
  <c r="R9" i="1"/>
  <c r="E9" i="1" l="1"/>
  <c r="E41" i="1" s="1"/>
  <c r="E6" i="1"/>
  <c r="E38" i="1" s="1"/>
</calcChain>
</file>

<file path=xl/sharedStrings.xml><?xml version="1.0" encoding="utf-8"?>
<sst xmlns="http://schemas.openxmlformats.org/spreadsheetml/2006/main" count="598" uniqueCount="404">
  <si>
    <t>Message name</t>
  </si>
  <si>
    <t>JSON</t>
  </si>
  <si>
    <t>Size</t>
  </si>
  <si>
    <t>Avro</t>
  </si>
  <si>
    <t>Proto</t>
  </si>
  <si>
    <t>Airlines</t>
  </si>
  <si>
    <t>IP</t>
  </si>
  <si>
    <t>Events</t>
  </si>
  <si>
    <t>Movies</t>
  </si>
  <si>
    <t>Representatives</t>
  </si>
  <si>
    <t>IPLong</t>
  </si>
  <si>
    <t>proto airlines</t>
  </si>
  <si>
    <t>proto event</t>
  </si>
  <si>
    <t>proto ip</t>
  </si>
  <si>
    <t>proto IpLong</t>
  </si>
  <si>
    <t>proto movies</t>
  </si>
  <si>
    <t>proto reps</t>
  </si>
  <si>
    <t>avro events</t>
  </si>
  <si>
    <t>avro airlines</t>
  </si>
  <si>
    <t>avro ip</t>
  </si>
  <si>
    <t>avro IpLong</t>
  </si>
  <si>
    <t>avro movies</t>
  </si>
  <si>
    <t>avro reps</t>
  </si>
  <si>
    <t>json airlines</t>
  </si>
  <si>
    <t>json events</t>
  </si>
  <si>
    <t>json ip</t>
  </si>
  <si>
    <t>json IpLong</t>
  </si>
  <si>
    <t>json movies</t>
  </si>
  <si>
    <t>json reps</t>
  </si>
  <si>
    <t>size in KB</t>
  </si>
  <si>
    <t>serialize</t>
  </si>
  <si>
    <t>seconds total</t>
  </si>
  <si>
    <t>count</t>
  </si>
  <si>
    <t>Standard devation</t>
  </si>
  <si>
    <t>average</t>
  </si>
  <si>
    <t>deserialize</t>
  </si>
  <si>
    <t>Avg. Time</t>
  </si>
  <si>
    <t>serializeMoviesAvro_seconds_bucket{le="0.022369621",} 4.0</t>
  </si>
  <si>
    <t>serializeMoviesAvro_seconds_bucket{le="0.027962026",} 779.0</t>
  </si>
  <si>
    <t>serializeMoviesAvro_seconds_bucket{le="0.033554431",} 938.0</t>
  </si>
  <si>
    <t>serializeMoviesAvro_seconds_bucket{le="0.039146836",} 979.0</t>
  </si>
  <si>
    <t>serializeMoviesAvro_seconds_bucket{le="0.044739241",} 990.0</t>
  </si>
  <si>
    <t>serializeMoviesAvro_seconds_bucket{le="0.050331646",} 991.0</t>
  </si>
  <si>
    <t>serializeMoviesAvro_seconds_bucket{le="0.055924051",} 994.0</t>
  </si>
  <si>
    <t>serializeMoviesAvro_seconds_bucket{le="0.061516456",} 997.0</t>
  </si>
  <si>
    <t>serializeMoviesAvro_seconds_bucket{le="0.067108864",} 999.0</t>
  </si>
  <si>
    <t>serializeMoviesAvro_seconds_bucket{le="0.089478485",} 1000.0</t>
  </si>
  <si>
    <t>Aproximate Standard Deviation</t>
  </si>
  <si>
    <t>Mean</t>
  </si>
  <si>
    <t>deserializeLongIpProto_seconds_bucket{le="0.001",} 111.0</t>
  </si>
  <si>
    <t>deserializeLongIpProto_seconds_bucket{le="0.001048576",} 373.0</t>
  </si>
  <si>
    <t>deserializeLongIpProto_seconds_bucket{le="0.001398101",} 866.0</t>
  </si>
  <si>
    <t>deserializeLongIpProto_seconds_bucket{le="0.001747626",} 951.0</t>
  </si>
  <si>
    <t>deserializeLongIpProto_seconds_bucket{le="0.002097151",} 986.0</t>
  </si>
  <si>
    <t>deserializeLongIpProto_seconds_bucket{le="0.002446676",} 996.0</t>
  </si>
  <si>
    <t>deserializeLongIpProto_seconds_bucket{le="0.002796201",} 999.0</t>
  </si>
  <si>
    <t>deserializeLongIpProto_seconds_bucket{le="0.003844776",} 1000.0</t>
  </si>
  <si>
    <t>deserializeIpProto_seconds_bucket{le="0.001",} 930.0</t>
  </si>
  <si>
    <t>deserializeIpProto_seconds_bucket{le="0.001048576",} 946.0</t>
  </si>
  <si>
    <t>deserializeIpProto_seconds_bucket{le="0.001398101",} 994.0</t>
  </si>
  <si>
    <t>deserializeIpProto_seconds_bucket{le="0.001747626",} 997.0</t>
  </si>
  <si>
    <t>deserializeIpProto_seconds_bucket{le="0.002097151",} 998.0</t>
  </si>
  <si>
    <t>deserializeIpProto_seconds_bucket{le="0.002796201",} 999.0</t>
  </si>
  <si>
    <t>deserializeIpProto_seconds_bucket{le="0.008388607",} 1000.0</t>
  </si>
  <si>
    <t>serializeIpJson_seconds_bucket{le="0.003495251",} 403.0</t>
  </si>
  <si>
    <t>serializeIpJson_seconds_bucket{le="0.003844776",} 645.0</t>
  </si>
  <si>
    <t>serializeIpJson_seconds_bucket{le="0.004194304",} 803.0</t>
  </si>
  <si>
    <t>serializeIpJson_seconds_bucket{le="0.005592405",} 980.0</t>
  </si>
  <si>
    <t>serializeIpJson_seconds_bucket{le="0.006990506",} 995.0</t>
  </si>
  <si>
    <t>serializeIpJson_seconds_bucket{le="0.008388607",} 997.0</t>
  </si>
  <si>
    <t>serializeIpJson_seconds_bucket{le="0.009786708",} 999.0</t>
  </si>
  <si>
    <t>serializeIpJson_seconds_bucket{le="0.011184809",} 1000.0</t>
  </si>
  <si>
    <t>serializeEventsProto_seconds_bucket{le="0.002097151",} 1.0</t>
  </si>
  <si>
    <t>serializeEventsProto_seconds_bucket{le="0.002446676",} 497.0</t>
  </si>
  <si>
    <t>serializeEventsProto_seconds_bucket{le="0.002796201",} 815.0</t>
  </si>
  <si>
    <t>serializeEventsProto_seconds_bucket{le="0.003145726",} 917.0</t>
  </si>
  <si>
    <t>serializeEventsProto_seconds_bucket{le="0.003495251",} 953.0</t>
  </si>
  <si>
    <t>serializeEventsProto_seconds_bucket{le="0.003844776",} 976.0</t>
  </si>
  <si>
    <t>serializeEventsProto_seconds_bucket{le="0.004194304",} 989.0</t>
  </si>
  <si>
    <t>serializeEventsProto_seconds_bucket{le="0.005592405",} 998.0</t>
  </si>
  <si>
    <t>serializeEventsProto_seconds_bucket{le="0.009786708",} 999.0</t>
  </si>
  <si>
    <t>serializeEventsProto_seconds_bucket{le="0.013981011",} 1000.0</t>
  </si>
  <si>
    <t>serializeAirlinesJson_seconds_bucket{le="0.067108864",} 105.0</t>
  </si>
  <si>
    <t>serializeAirlinesJson_seconds_bucket{le="0.089478485",} 688.0</t>
  </si>
  <si>
    <t>serializeAirlinesJson_seconds_bucket{le="0.111848106",} 861.0</t>
  </si>
  <si>
    <t>serializeAirlinesJson_seconds_bucket{le="0.134217727",} 957.0</t>
  </si>
  <si>
    <t>serializeAirlinesJson_seconds_bucket{le="0.156587348",} 982.0</t>
  </si>
  <si>
    <t>serializeAirlinesJson_seconds_bucket{le="0.178956969",} 996.0</t>
  </si>
  <si>
    <t>serializeAirlinesJson_seconds_bucket{le="0.20132659",} 999.0</t>
  </si>
  <si>
    <t>serializeAirlinesJson_seconds_bucket{le="0.246065832",} 1000.0</t>
  </si>
  <si>
    <t>serializeAirlinesAvro_seconds_bucket{le="0.013981011",} 1.0</t>
  </si>
  <si>
    <t>serializeAirlinesAvro_seconds_bucket{le="0.015379112",} 80.0</t>
  </si>
  <si>
    <t>serializeAirlinesAvro_seconds_bucket{le="0.016777216",} 289.0</t>
  </si>
  <si>
    <t>serializeAirlinesAvro_seconds_bucket{le="0.022369621",} 698.0</t>
  </si>
  <si>
    <t>serializeAirlinesAvro_seconds_bucket{le="0.027962026",} 843.0</t>
  </si>
  <si>
    <t>serializeAirlinesAvro_seconds_bucket{le="0.033554431",} 887.0</t>
  </si>
  <si>
    <t>serializeAirlinesAvro_seconds_bucket{le="0.039146836",} 903.0</t>
  </si>
  <si>
    <t>serializeAirlinesAvro_seconds_bucket{le="0.044739241",} 917.0</t>
  </si>
  <si>
    <t>serializeAirlinesAvro_seconds_bucket{le="0.050331646",} 938.0</t>
  </si>
  <si>
    <t>serializeAirlinesAvro_seconds_bucket{le="0.055924051",} 947.0</t>
  </si>
  <si>
    <t>serializeAirlinesAvro_seconds_bucket{le="0.061516456",} 963.0</t>
  </si>
  <si>
    <t>serializeAirlinesAvro_seconds_bucket{le="0.067108864",} 978.0</t>
  </si>
  <si>
    <t>serializeAirlinesAvro_seconds_bucket{le="0.089478485",} 998.0</t>
  </si>
  <si>
    <t>serializeAirlinesAvro_seconds_bucket{le="0.111848106",} 999.0</t>
  </si>
  <si>
    <t>serializeAirlinesAvro_seconds_bucket{le="0.134217727",} 1000.0</t>
  </si>
  <si>
    <t>deserializeRepsProto_seconds_bucket{le="0.001747626",} 1.0</t>
  </si>
  <si>
    <t>deserializeRepsProto_seconds_bucket{le="0.002097151",} 696.0</t>
  </si>
  <si>
    <t>deserializeRepsProto_seconds_bucket{le="0.002446676",} 895.0</t>
  </si>
  <si>
    <t>deserializeRepsProto_seconds_bucket{le="0.002796201",} 936.0</t>
  </si>
  <si>
    <t>deserializeRepsProto_seconds_bucket{le="0.003145726",} 952.0</t>
  </si>
  <si>
    <t>deserializeRepsProto_seconds_bucket{le="0.003495251",} 964.0</t>
  </si>
  <si>
    <t>deserializeRepsProto_seconds_bucket{le="0.003844776",} 975.0</t>
  </si>
  <si>
    <t>deserializeRepsProto_seconds_bucket{le="0.004194304",} 990.0</t>
  </si>
  <si>
    <t>deserializeRepsProto_seconds_bucket{le="0.005592405",} 998.0</t>
  </si>
  <si>
    <t>deserializeRepsProto_seconds_bucket{le="0.006990506",} 1000.0</t>
  </si>
  <si>
    <t>serializeRepsJson_seconds_bucket{le="0.022369621",} 839.0</t>
  </si>
  <si>
    <t>serializeRepsJson_seconds_bucket{le="0.027962026",} 963.0</t>
  </si>
  <si>
    <t>serializeRepsJson_seconds_bucket{le="0.033554431",} 986.0</t>
  </si>
  <si>
    <t>serializeRepsJson_seconds_bucket{le="0.039146836",} 993.0</t>
  </si>
  <si>
    <t>serializeRepsJson_seconds_bucket{le="0.044739241",} 997.0</t>
  </si>
  <si>
    <t>serializeRepsJson_seconds_bucket{le="0.050331646",} 998.0</t>
  </si>
  <si>
    <t>serializeRepsJson_seconds_bucket{le="0.061516456",} 999.0</t>
  </si>
  <si>
    <t>serializeRepsJson_seconds_bucket{le="0.089478485",} 1000.0</t>
  </si>
  <si>
    <t>serializeIpProto_seconds_bucket{le="0.001398101",} 598.0</t>
  </si>
  <si>
    <t>serializeIpProto_seconds_bucket{le="0.001747626",} 900.0</t>
  </si>
  <si>
    <t>serializeIpProto_seconds_bucket{le="0.002097151",} 956.0</t>
  </si>
  <si>
    <t>serializeIpProto_seconds_bucket{le="0.002446676",} 991.0</t>
  </si>
  <si>
    <t>serializeIpProto_seconds_bucket{le="0.002796201",} 998.0</t>
  </si>
  <si>
    <t>serializeIpProto_seconds_bucket{le="0.003495251",} 999.0</t>
  </si>
  <si>
    <t>serializeIpProto_seconds_bucket{le="0.006990506",} 1000.0</t>
  </si>
  <si>
    <t>deserializeEventsProto_seconds_bucket{le="0.001398101",} 431.0</t>
  </si>
  <si>
    <t>deserializeEventsProto_seconds_bucket{le="0.001747626",} 876.0</t>
  </si>
  <si>
    <t>deserializeEventsProto_seconds_bucket{le="0.002097151",} 954.0</t>
  </si>
  <si>
    <t>deserializeEventsProto_seconds_bucket{le="0.002446676",} 982.0</t>
  </si>
  <si>
    <t>deserializeEventsProto_seconds_bucket{le="0.002796201",} 990.0</t>
  </si>
  <si>
    <t>deserializeEventsProto_seconds_bucket{le="0.003145726",} 995.0</t>
  </si>
  <si>
    <t>deserializeEventsProto_seconds_bucket{le="0.003495251",} 997.0</t>
  </si>
  <si>
    <t>deserializeEventsProto_seconds_bucket{le="0.003844776",} 998.0</t>
  </si>
  <si>
    <t>deserializeEventsProto_seconds_bucket{le="0.009786708",} 999.0</t>
  </si>
  <si>
    <t>deserializeEventsProto_seconds_bucket{le="0.011184809",} 1000.0</t>
  </si>
  <si>
    <t>deserializeEventsJson_seconds_bucket{le="0.016777216",} 542.0</t>
  </si>
  <si>
    <t>deserializeEventsJson_seconds_bucket{le="0.022369621",} 921.0</t>
  </si>
  <si>
    <t>deserializeEventsJson_seconds_bucket{le="0.027962026",} 985.0</t>
  </si>
  <si>
    <t>deserializeEventsJson_seconds_bucket{le="0.033554431",} 992.0</t>
  </si>
  <si>
    <t>deserializeEventsJson_seconds_bucket{le="0.039146836",} 996.0</t>
  </si>
  <si>
    <t>deserializeEventsJson_seconds_bucket{le="0.050331646",} 998.0</t>
  </si>
  <si>
    <t>deserializeEventsJson_seconds_bucket{le="0.067108864",} 999.0</t>
  </si>
  <si>
    <t>deserializeEventsJson_seconds_bucket{le="0.089478485",} 1000.0</t>
  </si>
  <si>
    <t>serializeLongIpAvro_seconds_bucket{le="0.006990506",} 531.0</t>
  </si>
  <si>
    <t>serializeLongIpAvro_seconds_bucket{le="0.008388607",} 845.0</t>
  </si>
  <si>
    <t>serializeLongIpAvro_seconds_bucket{le="0.009786708",} 938.0</t>
  </si>
  <si>
    <t>serializeLongIpAvro_seconds_bucket{le="0.011184809",} 974.0</t>
  </si>
  <si>
    <t>serializeLongIpAvro_seconds_bucket{le="0.01258291",} 991.0</t>
  </si>
  <si>
    <t>serializeLongIpAvro_seconds_bucket{le="0.013981011",} 997.0</t>
  </si>
  <si>
    <t>serializeLongIpAvro_seconds_bucket{le="0.015379112",} 999.0</t>
  </si>
  <si>
    <t>serializeLongIpAvro_seconds_bucket{le="0.022369621",} 1000.0</t>
  </si>
  <si>
    <t>deserializeAirlinesJson_seconds_bucket{le="0.134217727",} 42.0</t>
  </si>
  <si>
    <t>deserializeAirlinesJson_seconds_bucket{le="0.156587348",} 331.0</t>
  </si>
  <si>
    <t>deserializeAirlinesJson_seconds_bucket{le="0.178956969",} 546.0</t>
  </si>
  <si>
    <t>deserializeAirlinesJson_seconds_bucket{le="0.20132659",} 748.0</t>
  </si>
  <si>
    <t>deserializeAirlinesJson_seconds_bucket{le="0.223696211",} 878.0</t>
  </si>
  <si>
    <t>deserializeAirlinesJson_seconds_bucket{le="0.246065832",} 937.0</t>
  </si>
  <si>
    <t>deserializeAirlinesJson_seconds_bucket{le="0.268435456",} 968.0</t>
  </si>
  <si>
    <t>deserializeAirlinesJson_seconds_bucket{le="0.357913941",} 997.0</t>
  </si>
  <si>
    <t>deserializeAirlinesJson_seconds_bucket{le="0.447392426",} 1000.0</t>
  </si>
  <si>
    <t>deserializeRepsAvro_seconds_bucket{le="0.002097151",} 626.0</t>
  </si>
  <si>
    <t>deserializeRepsAvro_seconds_bucket{le="0.002446676",} 855.0</t>
  </si>
  <si>
    <t>deserializeRepsAvro_seconds_bucket{le="0.002796201",} 913.0</t>
  </si>
  <si>
    <t>deserializeRepsAvro_seconds_bucket{le="0.003145726",} 929.0</t>
  </si>
  <si>
    <t>deserializeRepsAvro_seconds_bucket{le="0.003495251",} 954.0</t>
  </si>
  <si>
    <t>deserializeRepsAvro_seconds_bucket{le="0.003844776",} 968.0</t>
  </si>
  <si>
    <t>deserializeRepsAvro_seconds_bucket{le="0.004194304",} 978.0</t>
  </si>
  <si>
    <t>deserializeRepsAvro_seconds_bucket{le="0.005592405",} 998.0</t>
  </si>
  <si>
    <t>deserializeRepsAvro_seconds_bucket{le="0.006990506",} 999.0</t>
  </si>
  <si>
    <t>deserializeRepsAvro_seconds_bucket{le="0.027962026",} 1000.0</t>
  </si>
  <si>
    <t>serializeMoviesProto_seconds_bucket{le="0.268435456",} 3.0</t>
  </si>
  <si>
    <t>serializeMoviesProto_seconds_bucket{le="0.357913941",} 925.0</t>
  </si>
  <si>
    <t>serializeMoviesProto_seconds_bucket{le="0.447392426",} 982.0</t>
  </si>
  <si>
    <t>serializeMoviesProto_seconds_bucket{le="0.536870911",} 993.0</t>
  </si>
  <si>
    <t>serializeMoviesProto_seconds_bucket{le="0.626349396",} 997.0</t>
  </si>
  <si>
    <t>serializeMoviesProto_seconds_bucket{le="0.715827881",} 1000.0</t>
  </si>
  <si>
    <t>serializeRepsProto_seconds_bucket{le="0.003495251",} 2.0</t>
  </si>
  <si>
    <t>serializeRepsProto_seconds_bucket{le="0.003844776",} 14.0</t>
  </si>
  <si>
    <t>serializeRepsProto_seconds_bucket{le="0.004194304",} 30.0</t>
  </si>
  <si>
    <t>serializeRepsProto_seconds_bucket{le="0.005592405",} 885.0</t>
  </si>
  <si>
    <t>serializeRepsProto_seconds_bucket{le="0.006990506",} 967.0</t>
  </si>
  <si>
    <t>serializeRepsProto_seconds_bucket{le="0.008388607",} 989.0</t>
  </si>
  <si>
    <t>serializeRepsProto_seconds_bucket{le="0.009786708",} 995.0</t>
  </si>
  <si>
    <t>serializeRepsProto_seconds_bucket{le="0.011184809",} 996.0</t>
  </si>
  <si>
    <t>serializeRepsProto_seconds_bucket{le="0.01258291",} 997.0</t>
  </si>
  <si>
    <t>serializeRepsProto_seconds_bucket{le="0.013981011",} 998.0</t>
  </si>
  <si>
    <t>serializeRepsProto_seconds_bucket{le="0.015379112",} 999.0</t>
  </si>
  <si>
    <t>serializeRepsProto_seconds_bucket{le="0.022369621",} 1000.0</t>
  </si>
  <si>
    <t>serializeRepsAvro_seconds_bucket{le="0.009786708",} 20.0</t>
  </si>
  <si>
    <t>serializeRepsAvro_seconds_bucket{le="0.011184809",} 713.0</t>
  </si>
  <si>
    <t>serializeRepsAvro_seconds_bucket{le="0.01258291",} 871.0</t>
  </si>
  <si>
    <t>serializeRepsAvro_seconds_bucket{le="0.013981011",} 935.0</t>
  </si>
  <si>
    <t>serializeRepsAvro_seconds_bucket{le="0.015379112",} 968.0</t>
  </si>
  <si>
    <t>serializeRepsAvro_seconds_bucket{le="0.016777216",} 982.0</t>
  </si>
  <si>
    <t>serializeRepsAvro_seconds_bucket{le="0.022369621",} 993.0</t>
  </si>
  <si>
    <t>serializeRepsAvro_seconds_bucket{le="0.027962026",} 998.0</t>
  </si>
  <si>
    <t>serializeRepsAvro_seconds_bucket{le="0.033554431",} 1000.0</t>
  </si>
  <si>
    <t>deserializeLongIpAvro_seconds_bucket{le="0.001",} 933.0</t>
  </si>
  <si>
    <t>deserializeLongIpAvro_seconds_bucket{le="0.001048576",} 955.0</t>
  </si>
  <si>
    <t>deserializeLongIpAvro_seconds_bucket{le="0.001398101",} 999.0</t>
  </si>
  <si>
    <t>deserializeLongIpAvro_seconds_bucket{le="0.002446676",} 1000.0</t>
  </si>
  <si>
    <t>deserializeAirlinesProto_seconds_bucket{le="0.050331646",} 124.0</t>
  </si>
  <si>
    <t>deserializeAirlinesProto_seconds_bucket{le="0.055924051",} 650.0</t>
  </si>
  <si>
    <t>deserializeAirlinesProto_seconds_bucket{le="0.061516456",} 822.0</t>
  </si>
  <si>
    <t>deserializeAirlinesProto_seconds_bucket{le="0.067108864",} 889.0</t>
  </si>
  <si>
    <t>deserializeAirlinesProto_seconds_bucket{le="0.089478485",} 982.0</t>
  </si>
  <si>
    <t>deserializeAirlinesProto_seconds_bucket{le="0.111848106",} 996.0</t>
  </si>
  <si>
    <t>deserializeAirlinesProto_seconds_bucket{le="0.134217727",} 998.0</t>
  </si>
  <si>
    <t>deserializeAirlinesProto_seconds_bucket{le="0.156587348",} 1000.0</t>
  </si>
  <si>
    <t>serializeEventsAvro_seconds_bucket{le="0.009786708",} 646.0</t>
  </si>
  <si>
    <t>serializeEventsAvro_seconds_bucket{le="0.011184809",} 848.0</t>
  </si>
  <si>
    <t>serializeEventsAvro_seconds_bucket{le="0.01258291",} 926.0</t>
  </si>
  <si>
    <t>serializeEventsAvro_seconds_bucket{le="0.013981011",} 964.0</t>
  </si>
  <si>
    <t>serializeEventsAvro_seconds_bucket{le="0.015379112",} 979.0</t>
  </si>
  <si>
    <t>serializeEventsAvro_seconds_bucket{le="0.016777216",} 987.0</t>
  </si>
  <si>
    <t>serializeEventsAvro_seconds_bucket{le="0.022369621",} 995.0</t>
  </si>
  <si>
    <t>serializeEventsAvro_seconds_bucket{le="0.027962026",} 998.0</t>
  </si>
  <si>
    <t>serializeEventsAvro_seconds_bucket{le="0.033554431",} 999.0</t>
  </si>
  <si>
    <t>serializeEventsAvro_seconds_bucket{le="0.050331646",} 1000.0</t>
  </si>
  <si>
    <t>serializeMoviesJson_seconds_bucket{le="0.089478485",} 644.0</t>
  </si>
  <si>
    <t>serializeMoviesJson_seconds_bucket{le="0.111848106",} 951.0</t>
  </si>
  <si>
    <t>serializeMoviesJson_seconds_bucket{le="0.134217727",} 985.0</t>
  </si>
  <si>
    <t>serializeMoviesJson_seconds_bucket{le="0.156587348",} 993.0</t>
  </si>
  <si>
    <t>serializeMoviesJson_seconds_bucket{le="0.178956969",} 994.0</t>
  </si>
  <si>
    <t>serializeMoviesJson_seconds_bucket{le="0.20132659",} 998.0</t>
  </si>
  <si>
    <t>serializeMoviesJson_seconds_bucket{le="0.246065832",} 999.0</t>
  </si>
  <si>
    <t>serializeMoviesJson_seconds_bucket{le="0.357913941",} 1000.0</t>
  </si>
  <si>
    <t>serializeAirlinesProto_seconds_bucket{le="0.050331646",} 185.0</t>
  </si>
  <si>
    <t>serializeAirlinesProto_seconds_bucket{le="0.055924051",} 666.0</t>
  </si>
  <si>
    <t>serializeAirlinesProto_seconds_bucket{le="0.061516456",} 811.0</t>
  </si>
  <si>
    <t>serializeAirlinesProto_seconds_bucket{le="0.067108864",} 890.0</t>
  </si>
  <si>
    <t>serializeAirlinesProto_seconds_bucket{le="0.089478485",} 978.0</t>
  </si>
  <si>
    <t>serializeAirlinesProto_seconds_bucket{le="0.111848106",} 994.0</t>
  </si>
  <si>
    <t>serializeAirlinesProto_seconds_bucket{le="0.134217727",} 999.0</t>
  </si>
  <si>
    <t>serializeAirlinesProto_seconds_bucket{le="0.178956969",} 1000.0</t>
  </si>
  <si>
    <t>serializeIpAvro_seconds_bucket{le="0.006990506",} 641.0</t>
  </si>
  <si>
    <t>serializeIpAvro_seconds_bucket{le="0.008388607",} 884.0</t>
  </si>
  <si>
    <t>serializeIpAvro_seconds_bucket{le="0.009786708",} 957.0</t>
  </si>
  <si>
    <t>serializeIpAvro_seconds_bucket{le="0.011184809",} 984.0</t>
  </si>
  <si>
    <t>serializeIpAvro_seconds_bucket{le="0.01258291",} 990.0</t>
  </si>
  <si>
    <t>serializeIpAvro_seconds_bucket{le="0.013981011",} 995.0</t>
  </si>
  <si>
    <t>serializeIpAvro_seconds_bucket{le="0.015379112",} 996.0</t>
  </si>
  <si>
    <t>serializeIpAvro_seconds_bucket{le="0.016777216",} 999.0</t>
  </si>
  <si>
    <t>serializeIpAvro_seconds_bucket{le="0.022369621",} 1000.0</t>
  </si>
  <si>
    <t>deserializeLongIpJson_seconds_bucket{le="0.005592405",} 784.0</t>
  </si>
  <si>
    <t>deserializeLongIpJson_seconds_bucket{le="0.006990506",} 947.0</t>
  </si>
  <si>
    <t>deserializeLongIpJson_seconds_bucket{le="0.008388607",} 979.0</t>
  </si>
  <si>
    <t>deserializeLongIpJson_seconds_bucket{le="0.009786708",} 988.0</t>
  </si>
  <si>
    <t>deserializeLongIpJson_seconds_bucket{le="0.011184809",} 994.0</t>
  </si>
  <si>
    <t>deserializeLongIpJson_seconds_bucket{le="0.01258291",} 996.0</t>
  </si>
  <si>
    <t>deserializeLongIpJson_seconds_bucket{le="0.013981011",} 997.0</t>
  </si>
  <si>
    <t>deserializeLongIpJson_seconds_bucket{le="0.015379112",} 998.0</t>
  </si>
  <si>
    <t>deserializeLongIpJson_seconds_bucket{le="0.022369621",} 999.0</t>
  </si>
  <si>
    <t>deserializeLongIpJson_seconds_bucket{le="0.044739241",} 1000.0</t>
  </si>
  <si>
    <t>deserializeRepsJson_seconds_bucket{le="0.039146836",} 608.0</t>
  </si>
  <si>
    <t>deserializeRepsJson_seconds_bucket{le="0.044739241",} 850.0</t>
  </si>
  <si>
    <t>deserializeRepsJson_seconds_bucket{le="0.050331646",} 920.0</t>
  </si>
  <si>
    <t>deserializeRepsJson_seconds_bucket{le="0.055924051",} 952.0</t>
  </si>
  <si>
    <t>deserializeRepsJson_seconds_bucket{le="0.061516456",} 978.0</t>
  </si>
  <si>
    <t>deserializeRepsJson_seconds_bucket{le="0.067108864",} 988.0</t>
  </si>
  <si>
    <t>deserializeRepsJson_seconds_bucket{le="0.089478485",} 996.0</t>
  </si>
  <si>
    <t>deserializeRepsJson_seconds_bucket{le="0.111848106",} 1000.0</t>
  </si>
  <si>
    <t>deserializeMoviesAvro_seconds_bucket{le="0.022369621",} 717.0</t>
  </si>
  <si>
    <t>deserializeMoviesAvro_seconds_bucket{le="0.027962026",} 900.0</t>
  </si>
  <si>
    <t>deserializeMoviesAvro_seconds_bucket{le="0.033554431",} 959.0</t>
  </si>
  <si>
    <t>deserializeMoviesAvro_seconds_bucket{le="0.039146836",} 982.0</t>
  </si>
  <si>
    <t>deserializeMoviesAvro_seconds_bucket{le="0.044739241",} 993.0</t>
  </si>
  <si>
    <t>deserializeMoviesAvro_seconds_bucket{le="0.050331646",} 996.0</t>
  </si>
  <si>
    <t>deserializeMoviesAvro_seconds_bucket{le="0.055924051",} 998.0</t>
  </si>
  <si>
    <t>deserializeMoviesAvro_seconds_bucket{le="0.089478485",} 999.0</t>
  </si>
  <si>
    <t>deserializeMoviesAvro_seconds_bucket{le="0.134217727",} 1000.0</t>
  </si>
  <si>
    <t>deserializeMoviesJson_seconds_bucket{le="0.134217727",} 2.0</t>
  </si>
  <si>
    <t>deserializeMoviesJson_seconds_bucket{le="0.156587348",} 557.0</t>
  </si>
  <si>
    <t>deserializeMoviesJson_seconds_bucket{le="0.178956969",} 857.0</t>
  </si>
  <si>
    <t>deserializeMoviesJson_seconds_bucket{le="0.20132659",} 952.0</t>
  </si>
  <si>
    <t>deserializeMoviesJson_seconds_bucket{le="0.223696211",} 975.0</t>
  </si>
  <si>
    <t>deserializeMoviesJson_seconds_bucket{le="0.246065832",} 988.0</t>
  </si>
  <si>
    <t>deserializeMoviesJson_seconds_bucket{le="0.268435456",} 989.0</t>
  </si>
  <si>
    <t>deserializeMoviesJson_seconds_bucket{le="0.357913941",} 995.0</t>
  </si>
  <si>
    <t>deserializeMoviesJson_seconds_bucket{le="0.447392426",} 998.0</t>
  </si>
  <si>
    <t>deserializeMoviesJson_seconds_bucket{le="0.536870911",} 1000.0</t>
  </si>
  <si>
    <t>deserializeMoviesProto_seconds_bucket{le="0.223696211",} 314.0</t>
  </si>
  <si>
    <t>deserializeMoviesProto_seconds_bucket{le="0.246065832",} 766.0</t>
  </si>
  <si>
    <t>deserializeMoviesProto_seconds_bucket{le="0.268435456",} 900.0</t>
  </si>
  <si>
    <t>deserializeMoviesProto_seconds_bucket{le="0.357913941",} 980.0</t>
  </si>
  <si>
    <t>deserializeMoviesProto_seconds_bucket{le="0.447392426",} 993.0</t>
  </si>
  <si>
    <t>deserializeMoviesProto_seconds_bucket{le="0.536870911",} 998.0</t>
  </si>
  <si>
    <t>deserializeMoviesProto_seconds_bucket{le="0.626349396",} 999.0</t>
  </si>
  <si>
    <t>deserializeMoviesProto_seconds_bucket{le="0.715827881",} 1000.0</t>
  </si>
  <si>
    <t>serializeEventsJson_seconds_bucket{le="0.01258291",} 39.0</t>
  </si>
  <si>
    <t>serializeEventsJson_seconds_bucket{le="0.013981011",} 640.0</t>
  </si>
  <si>
    <t>serializeEventsJson_seconds_bucket{le="0.015379112",} 797.0</t>
  </si>
  <si>
    <t>serializeEventsJson_seconds_bucket{le="0.016777216",} 878.0</t>
  </si>
  <si>
    <t>serializeEventsJson_seconds_bucket{le="0.022369621",} 985.0</t>
  </si>
  <si>
    <t>serializeEventsJson_seconds_bucket{le="0.027962026",} 992.0</t>
  </si>
  <si>
    <t>serializeEventsJson_seconds_bucket{le="0.033554431",} 997.0</t>
  </si>
  <si>
    <t>serializeEventsJson_seconds_bucket{le="0.044739241",} 998.0</t>
  </si>
  <si>
    <t>serializeEventsJson_seconds_bucket{le="0.055924051",} 999.0</t>
  </si>
  <si>
    <t>serializeEventsJson_seconds_bucket{le="0.089478485",} 1000.0</t>
  </si>
  <si>
    <t>serializeLongIpProto_seconds_bucket{le="0.001747626",} 677.0</t>
  </si>
  <si>
    <t>serializeLongIpProto_seconds_bucket{le="0.002097151",} 895.0</t>
  </si>
  <si>
    <t>serializeLongIpProto_seconds_bucket{le="0.002446676",} 953.0</t>
  </si>
  <si>
    <t>serializeLongIpProto_seconds_bucket{le="0.002796201",} 985.0</t>
  </si>
  <si>
    <t>serializeLongIpProto_seconds_bucket{le="0.003145726",} 993.0</t>
  </si>
  <si>
    <t>serializeLongIpProto_seconds_bucket{le="0.003495251",} 996.0</t>
  </si>
  <si>
    <t>serializeLongIpProto_seconds_bucket{le="0.003844776",} 997.0</t>
  </si>
  <si>
    <t>serializeLongIpProto_seconds_bucket{le="0.004194304",} 998.0</t>
  </si>
  <si>
    <t>serializeLongIpProto_seconds_bucket{le="0.005592405",} 999.0</t>
  </si>
  <si>
    <t>serializeLongIpProto_seconds_bucket{le="0.01258291",} 1000.0</t>
  </si>
  <si>
    <t>deserializeAirlinesAvro_seconds_bucket{le="0.008388607",} 11.0</t>
  </si>
  <si>
    <t>deserializeAirlinesAvro_seconds_bucket{le="0.009786708",} 309.0</t>
  </si>
  <si>
    <t>deserializeAirlinesAvro_seconds_bucket{le="0.011184809",} 521.0</t>
  </si>
  <si>
    <t>deserializeAirlinesAvro_seconds_bucket{le="0.01258291",} 647.0</t>
  </si>
  <si>
    <t>deserializeAirlinesAvro_seconds_bucket{le="0.013981011",} 731.0</t>
  </si>
  <si>
    <t>deserializeAirlinesAvro_seconds_bucket{le="0.015379112",} 803.0</t>
  </si>
  <si>
    <t>deserializeAirlinesAvro_seconds_bucket{le="0.016777216",} 848.0</t>
  </si>
  <si>
    <t>deserializeAirlinesAvro_seconds_bucket{le="0.022369621",} 970.0</t>
  </si>
  <si>
    <t>deserializeAirlinesAvro_seconds_bucket{le="0.027962026",} 981.0</t>
  </si>
  <si>
    <t>deserializeAirlinesAvro_seconds_bucket{le="0.033554431",} 989.0</t>
  </si>
  <si>
    <t>deserializeAirlinesAvro_seconds_bucket{le="0.044739241",} 993.0</t>
  </si>
  <si>
    <t>deserializeAirlinesAvro_seconds_bucket{le="0.050331646",} 995.0</t>
  </si>
  <si>
    <t>deserializeAirlinesAvro_seconds_bucket{le="0.055924051",} 996.0</t>
  </si>
  <si>
    <t>deserializeAirlinesAvro_seconds_bucket{le="0.061516456",} 997.0</t>
  </si>
  <si>
    <t>deserializeAirlinesAvro_seconds_bucket{le="0.067108864",} 999.0</t>
  </si>
  <si>
    <t>deserializeAirlinesAvro_seconds_bucket{le="0.134217727",} 1000.0</t>
  </si>
  <si>
    <t>deserializeIpJson_seconds_bucket{le="0.004194304",} 3.0</t>
  </si>
  <si>
    <t>deserializeIpJson_seconds_bucket{le="0.005592405",} 812.0</t>
  </si>
  <si>
    <t>deserializeIpJson_seconds_bucket{le="0.006990506",} 976.0</t>
  </si>
  <si>
    <t>deserializeIpJson_seconds_bucket{le="0.008388607",} 990.0</t>
  </si>
  <si>
    <t>deserializeIpJson_seconds_bucket{le="0.009786708",} 997.0</t>
  </si>
  <si>
    <t>deserializeIpJson_seconds_bucket{le="0.011184809",} 999.0</t>
  </si>
  <si>
    <t>deserializeIpJson_seconds_bucket{le="0.01258291",} 1000.0</t>
  </si>
  <si>
    <t>deserializeIpAvro_seconds_bucket{le="0.001",} 945.0</t>
  </si>
  <si>
    <t>deserializeIpAvro_seconds_bucket{le="0.001048576",} 960.0</t>
  </si>
  <si>
    <t>deserializeIpAvro_seconds_bucket{le="0.001398101",} 998.0</t>
  </si>
  <si>
    <t>deserializeIpAvro_seconds_bucket{le="0.001747626",} 999.0</t>
  </si>
  <si>
    <t>deserializeIpAvro_seconds_bucket{le="0.004194304",} 1000.0</t>
  </si>
  <si>
    <t>serializeLongIpJson_seconds_bucket{le="0.003495251",} 330.0</t>
  </si>
  <si>
    <t>serializeLongIpJson_seconds_bucket{le="0.003844776",} 594.0</t>
  </si>
  <si>
    <t>serializeLongIpJson_seconds_bucket{le="0.004194304",} 764.0</t>
  </si>
  <si>
    <t>serializeLongIpJson_seconds_bucket{le="0.005592405",} 960.0</t>
  </si>
  <si>
    <t>serializeLongIpJson_seconds_bucket{le="0.006990506",} 984.0</t>
  </si>
  <si>
    <t>serializeLongIpJson_seconds_bucket{le="0.008388607",} 990.0</t>
  </si>
  <si>
    <t>serializeLongIpJson_seconds_bucket{le="0.009786708",} 994.0</t>
  </si>
  <si>
    <t>serializeLongIpJson_seconds_bucket{le="0.011184809",} 997.0</t>
  </si>
  <si>
    <t>serializeLongIpJson_seconds_bucket{le="0.013981011",} 998.0</t>
  </si>
  <si>
    <t>serializeLongIpJson_seconds_bucket{le="0.016777216",} 999.0</t>
  </si>
  <si>
    <t>serializeLongIpJson_seconds_bucket{le="0.044739241",} 1000.0</t>
  </si>
  <si>
    <t>Serialize</t>
  </si>
  <si>
    <t>Deserialize</t>
  </si>
  <si>
    <t>Mean Time</t>
  </si>
  <si>
    <t>IpLong</t>
  </si>
  <si>
    <t># of objects</t>
  </si>
  <si>
    <t># of keys in obj</t>
  </si>
  <si>
    <t>has arrays?</t>
  </si>
  <si>
    <t># of arrays</t>
  </si>
  <si>
    <t>depth of object*</t>
  </si>
  <si>
    <t>*Depth of is defined here as how many layers of nested objects exist in the parent object</t>
  </si>
  <si>
    <t>no</t>
  </si>
  <si>
    <t>na</t>
  </si>
  <si>
    <t>yes</t>
  </si>
  <si>
    <t>1 *Array of objects</t>
  </si>
  <si>
    <t>2 *Array of strings</t>
  </si>
  <si>
    <t>Standard Deviation</t>
  </si>
  <si>
    <t>airlines</t>
  </si>
  <si>
    <t>events</t>
  </si>
  <si>
    <t>ip;</t>
  </si>
  <si>
    <t>ip long</t>
  </si>
  <si>
    <t>movies</t>
  </si>
  <si>
    <t>reps</t>
  </si>
  <si>
    <t>Avro had a slightly smaller size but Protobuf had signifigantly faster serialization and deserialization times</t>
  </si>
  <si>
    <t>Avro performed beter across the board</t>
  </si>
  <si>
    <t>Protobuf performed beter across the board and Avro was worse than Json in both size ad serialization time but signifigantly faster than Json at deserialization</t>
  </si>
  <si>
    <t>we see similar results from IP but this time the file size is smaller in Avro than JSON</t>
  </si>
  <si>
    <t xml:space="preserve">Avro performed beter across the board. Proto buf had a much higher serialization time than JSON or Avro but smaller size faster deserializaton than JSON </t>
  </si>
  <si>
    <t xml:space="preserve">averaging serialization and deserialization times with the exception of Protobuf on the Movies data set both Protobuf and Avro both out performed JSON </t>
  </si>
  <si>
    <t xml:space="preserve">Avro had better average serization/deserialization time than proto on the dataset: Airlines, and Movies </t>
  </si>
  <si>
    <t>Protocol buffers had better average serialization/deserialization times on Events, IP, IPLong, and representatives</t>
  </si>
  <si>
    <t>Time in seconds</t>
  </si>
  <si>
    <t>JSON time in milliseconds</t>
  </si>
  <si>
    <t>Avro time in milliseconds</t>
  </si>
  <si>
    <t>Size in KB</t>
  </si>
  <si>
    <t>90th quantile</t>
  </si>
  <si>
    <t>Avro and Protobuf means as Precentages of JSON means</t>
  </si>
  <si>
    <t>deserializeEventsAvro_seconds_bucket{le="0.001",} 270.0</t>
  </si>
  <si>
    <t>deserializeEventsAvro_seconds_bucket{le="0.001048576",} 391.0</t>
  </si>
  <si>
    <t>deserializeEventsAvro_seconds_bucket{le="0.001398101",} 818.0</t>
  </si>
  <si>
    <t>deserializeEventsAvro_seconds_bucket{le="0.001747626",} 963.0</t>
  </si>
  <si>
    <t>deserializeEventsAvro_seconds_bucket{le="0.002097151",} 988.0</t>
  </si>
  <si>
    <t>deserializeEventsAvro_seconds_bucket{le="0.002446676",} 993.0</t>
  </si>
  <si>
    <t>deserializeEventsAvro_seconds_bucket{le="0.002796201",} 996.0</t>
  </si>
  <si>
    <t>deserializeEventsAvro_seconds_bucket{le="0.003145726",} 997.0</t>
  </si>
  <si>
    <t>deserializeEventsAvro_seconds_bucket{le="0.005592405",} 998.0</t>
  </si>
  <si>
    <t>deserializeEventsAvro_seconds_bucket{le="0.008388607",} 999.0</t>
  </si>
  <si>
    <t>deserializeEventsAvro_seconds_bucket{le="0.044739241",} 1000.0</t>
  </si>
  <si>
    <t>Serialize Time</t>
  </si>
  <si>
    <t>Deserialize Time</t>
  </si>
  <si>
    <t>IP Long</t>
  </si>
  <si>
    <t>Proto time 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</si>
</sst>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164" fontId="0" fillId="0" borderId="1" xfId="0" applyNumberFormat="1" applyBorder="1"/>
    <xf numFmtId="0" fontId="0" fillId="0" borderId="0" xfId="0" applyBorder="1" applyAlignment="1"/>
    <xf numFmtId="0" fontId="0" fillId="0" borderId="6" xfId="0" applyBorder="1"/>
    <xf numFmtId="0" fontId="0" fillId="2" borderId="6" xfId="0" applyFill="1" applyBorder="1"/>
    <xf numFmtId="0" fontId="0" fillId="0" borderId="6" xfId="0" applyFill="1" applyBorder="1"/>
    <xf numFmtId="10" fontId="0" fillId="0" borderId="6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/>
    <xf numFmtId="0" fontId="0" fillId="2" borderId="1" xfId="0" applyFill="1" applyBorder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3A92-0262-4C54-B14F-589A22B6B5DE}">
  <dimension ref="A1:AF64"/>
  <sheetViews>
    <sheetView tabSelected="1" topLeftCell="K29" workbookViewId="0">
      <selection activeCell="W30" sqref="W30:AD60"/>
    </sheetView>
  </sheetViews>
  <sheetFormatPr defaultRowHeight="15"/>
  <cols>
    <col min="1" max="1" width="15.5703125" bestFit="1" customWidth="1"/>
    <col min="3" max="3" width="12.7109375" bestFit="1" customWidth="1"/>
    <col min="4" max="4" width="15.42578125" bestFit="1" customWidth="1"/>
    <col min="5" max="5" width="17.5703125" bestFit="1" customWidth="1"/>
    <col min="6" max="6" width="15.42578125" customWidth="1"/>
    <col min="7" max="7" width="15" bestFit="1" customWidth="1"/>
    <col min="8" max="8" width="17.5703125" bestFit="1" customWidth="1"/>
    <col min="9" max="9" width="9.7109375" bestFit="1" customWidth="1"/>
    <col min="10" max="10" width="15" customWidth="1"/>
    <col min="11" max="11" width="8.28515625" customWidth="1"/>
    <col min="12" max="12" width="12.7109375" customWidth="1"/>
    <col min="13" max="13" width="14.85546875" customWidth="1"/>
    <col min="14" max="14" width="10" customWidth="1"/>
    <col min="15" max="15" width="8.140625" customWidth="1"/>
    <col min="16" max="16" width="12.7109375" customWidth="1"/>
    <col min="17" max="17" width="15.7109375" customWidth="1"/>
    <col min="18" max="18" width="9.5703125" customWidth="1"/>
    <col min="19" max="19" width="17.5703125" bestFit="1" customWidth="1"/>
    <col min="20" max="21" width="15.42578125" customWidth="1"/>
    <col min="22" max="22" width="17.5703125" bestFit="1" customWidth="1"/>
    <col min="23" max="23" width="15.5703125" bestFit="1" customWidth="1"/>
    <col min="24" max="24" width="9.42578125" bestFit="1" customWidth="1"/>
    <col min="25" max="25" width="12" bestFit="1" customWidth="1"/>
    <col min="26" max="26" width="12.7109375" bestFit="1" customWidth="1"/>
    <col min="27" max="27" width="18.140625" bestFit="1" customWidth="1"/>
    <col min="28" max="28" width="12" bestFit="1" customWidth="1"/>
    <col min="29" max="29" width="12.7109375" bestFit="1" customWidth="1"/>
    <col min="30" max="30" width="18.140625" bestFit="1" customWidth="1"/>
  </cols>
  <sheetData>
    <row r="1" spans="1:32" ht="15.75" thickBot="1"/>
    <row r="2" spans="1:32">
      <c r="A2" s="1" t="s">
        <v>0</v>
      </c>
      <c r="B2" s="17" t="s">
        <v>1</v>
      </c>
      <c r="C2" s="17"/>
      <c r="D2" s="17"/>
      <c r="E2" s="17"/>
      <c r="F2" s="17"/>
      <c r="G2" s="17"/>
      <c r="H2" s="17"/>
      <c r="J2" t="s">
        <v>29</v>
      </c>
      <c r="X2" s="18"/>
      <c r="Y2" s="19"/>
      <c r="Z2" s="19"/>
      <c r="AA2" s="19"/>
      <c r="AB2" s="19"/>
      <c r="AC2" s="19"/>
      <c r="AD2" s="19"/>
      <c r="AE2" s="19"/>
      <c r="AF2" s="20"/>
    </row>
    <row r="3" spans="1:32">
      <c r="A3" s="10"/>
      <c r="B3" s="11"/>
      <c r="C3" s="21" t="s">
        <v>353</v>
      </c>
      <c r="D3" s="22"/>
      <c r="E3" s="23"/>
      <c r="F3" s="21" t="s">
        <v>354</v>
      </c>
      <c r="G3" s="22"/>
      <c r="H3" s="23"/>
      <c r="J3" t="s">
        <v>383</v>
      </c>
    </row>
    <row r="4" spans="1:32" ht="15.75" thickBot="1">
      <c r="A4" s="10"/>
      <c r="B4" s="1" t="s">
        <v>386</v>
      </c>
      <c r="C4" s="1" t="s">
        <v>355</v>
      </c>
      <c r="D4" s="1" t="s">
        <v>387</v>
      </c>
      <c r="E4" s="1" t="s">
        <v>368</v>
      </c>
      <c r="F4" s="1" t="s">
        <v>355</v>
      </c>
      <c r="G4" s="1" t="s">
        <v>387</v>
      </c>
      <c r="H4" s="1" t="s">
        <v>368</v>
      </c>
    </row>
    <row r="5" spans="1:32" ht="15.75" thickBot="1">
      <c r="A5" s="1" t="s">
        <v>5</v>
      </c>
      <c r="B5" s="1">
        <v>4849</v>
      </c>
      <c r="C5" s="4">
        <f>Sheet2!Z5</f>
        <v>8.6678838299999991E-2</v>
      </c>
      <c r="D5" s="1">
        <f>Sheet2!$Z6</f>
        <v>0.13841203199999999</v>
      </c>
      <c r="E5" s="1">
        <f>Sheet2!$Z7</f>
        <v>2.6030018891855876E-2</v>
      </c>
      <c r="F5" s="4">
        <f>Sheet2!AA5</f>
        <v>0.18105916229999999</v>
      </c>
      <c r="G5" s="4">
        <f>Sheet2!$AA6</f>
        <v>0.23488102399999999</v>
      </c>
      <c r="H5" s="4">
        <f>Sheet2!$AA7</f>
        <v>4.6811658558229358E-2</v>
      </c>
      <c r="J5" s="18" t="s">
        <v>388</v>
      </c>
      <c r="K5" s="19"/>
      <c r="L5" s="19"/>
      <c r="M5" s="19"/>
      <c r="N5" s="19"/>
      <c r="O5" s="19"/>
      <c r="P5" s="19"/>
      <c r="Q5" s="19"/>
      <c r="R5" s="20"/>
    </row>
    <row r="6" spans="1:32" ht="16.5" thickTop="1" thickBot="1">
      <c r="A6" s="1" t="s">
        <v>7</v>
      </c>
      <c r="B6" s="1">
        <v>188</v>
      </c>
      <c r="C6" s="4">
        <f>Sheet2!AB5</f>
        <v>1.4422387799999999E-2</v>
      </c>
      <c r="D6" s="1">
        <f>Sheet2!$AB6</f>
        <v>1.7301503999999999E-2</v>
      </c>
      <c r="E6" s="1">
        <f>Sheet2!$AB7</f>
        <v>4.3575475678301829E-3</v>
      </c>
      <c r="F6" s="4">
        <f>Sheet2!AC5</f>
        <v>1.80169237E-2</v>
      </c>
      <c r="G6" s="4">
        <f>Sheet2!$AC6</f>
        <v>2.3068671999999998E-2</v>
      </c>
      <c r="H6" s="4">
        <f>Sheet2!$AC7</f>
        <v>5.2368389172195388E-3</v>
      </c>
      <c r="J6" s="6" t="s">
        <v>0</v>
      </c>
      <c r="K6" s="14" t="s">
        <v>3</v>
      </c>
      <c r="L6" s="15"/>
      <c r="M6" s="15"/>
      <c r="N6" s="16"/>
      <c r="O6" s="14" t="s">
        <v>4</v>
      </c>
      <c r="P6" s="15"/>
      <c r="Q6" s="15"/>
      <c r="R6" s="16"/>
    </row>
    <row r="7" spans="1:32" ht="16.5" thickTop="1" thickBot="1">
      <c r="A7" s="1" t="s">
        <v>6</v>
      </c>
      <c r="B7" s="1">
        <v>0.10100000000000001</v>
      </c>
      <c r="C7" s="4">
        <f>Sheet2!AD5</f>
        <v>3.8187666999999997E-3</v>
      </c>
      <c r="D7" s="1">
        <f>Sheet2!$AD6</f>
        <v>5.1118079999999998E-3</v>
      </c>
      <c r="E7" s="1">
        <f>Sheet2!$AD7</f>
        <v>9.5077399536885735E-4</v>
      </c>
      <c r="F7" s="4">
        <f>Sheet2!AE5</f>
        <v>5.0531572E-3</v>
      </c>
      <c r="G7" s="4">
        <f>Sheet2!$AE6</f>
        <v>6.5535999999999997E-3</v>
      </c>
      <c r="H7" s="4">
        <f>Sheet2!$AE7</f>
        <v>1.1390764835473434E-3</v>
      </c>
      <c r="J7" s="7"/>
      <c r="K7" s="6" t="s">
        <v>2</v>
      </c>
      <c r="L7" s="6" t="s">
        <v>400</v>
      </c>
      <c r="M7" s="6" t="s">
        <v>401</v>
      </c>
      <c r="N7" s="8" t="s">
        <v>36</v>
      </c>
      <c r="O7" s="6" t="s">
        <v>2</v>
      </c>
      <c r="P7" s="6" t="s">
        <v>400</v>
      </c>
      <c r="Q7" s="6" t="s">
        <v>401</v>
      </c>
      <c r="R7" s="6" t="s">
        <v>36</v>
      </c>
    </row>
    <row r="8" spans="1:32" ht="16.5" thickTop="1" thickBot="1">
      <c r="A8" s="1" t="s">
        <v>10</v>
      </c>
      <c r="B8" s="1">
        <v>1.89</v>
      </c>
      <c r="C8" s="4">
        <f>Sheet2!AF5</f>
        <v>4.0064055999999995E-3</v>
      </c>
      <c r="D8" s="1">
        <f>Sheet2!$AH6</f>
        <v>0.113246208</v>
      </c>
      <c r="E8" s="1">
        <f>Sheet2!$AH7</f>
        <v>2.0087193554670625E-2</v>
      </c>
      <c r="F8" s="4">
        <f>Sheet2!AG5</f>
        <v>5.2824153E-3</v>
      </c>
      <c r="G8" s="4">
        <f>Sheet2!$AG6</f>
        <v>6.8157440000000003E-3</v>
      </c>
      <c r="H8" s="4">
        <f>Sheet2!$AG7</f>
        <v>1.8396456078077408E-3</v>
      </c>
      <c r="J8" s="6" t="s">
        <v>5</v>
      </c>
      <c r="K8" s="9">
        <f t="shared" ref="K8:L13" si="0">B16/B5</f>
        <v>0.33182099401938542</v>
      </c>
      <c r="L8" s="9">
        <f t="shared" si="0"/>
        <v>0.27060108280200618</v>
      </c>
      <c r="M8" s="9">
        <f>F16/F5</f>
        <v>7.0834983643354679E-2</v>
      </c>
      <c r="N8" s="9">
        <f t="shared" ref="N8:N13" si="1">AVERAGE(L8:M8)</f>
        <v>0.17071803322268042</v>
      </c>
      <c r="O8" s="9">
        <f t="shared" ref="O8:P13" si="2">B27/B5</f>
        <v>0.36646731284800987</v>
      </c>
      <c r="P8" s="9">
        <f t="shared" si="2"/>
        <v>0.65522539196282703</v>
      </c>
      <c r="Q8" s="9">
        <f>F27/F5</f>
        <v>0.31501879427396423</v>
      </c>
      <c r="R8" s="9">
        <f t="shared" ref="R8:R13" si="3">AVERAGE(P8:Q8)</f>
        <v>0.4851220931183956</v>
      </c>
    </row>
    <row r="9" spans="1:32" ht="16.5" thickTop="1" thickBot="1">
      <c r="A9" s="1" t="s">
        <v>8</v>
      </c>
      <c r="B9" s="1">
        <v>3307</v>
      </c>
      <c r="C9" s="4">
        <f>Sheet2!AH5</f>
        <v>8.9935803199999997E-2</v>
      </c>
      <c r="D9" s="1">
        <f>Sheet2!$AB6</f>
        <v>1.7301503999999999E-2</v>
      </c>
      <c r="E9" s="1">
        <f>Sheet2!$AB7</f>
        <v>4.3575475678301829E-3</v>
      </c>
      <c r="F9" s="4">
        <f>Sheet2!AI5</f>
        <v>0.16179166860000002</v>
      </c>
      <c r="G9" s="4">
        <f>Sheet2!$AI6</f>
        <v>0.201326592</v>
      </c>
      <c r="H9" s="4">
        <f>Sheet2!$AI7</f>
        <v>3.4671739875920086E-2</v>
      </c>
      <c r="J9" s="6" t="s">
        <v>7</v>
      </c>
      <c r="K9" s="9">
        <f t="shared" si="0"/>
        <v>0.80851063829787229</v>
      </c>
      <c r="L9" s="9">
        <f t="shared" si="0"/>
        <v>0.69893014525652974</v>
      </c>
      <c r="M9" s="9">
        <f>F17/F6</f>
        <v>6.7293175027432678E-2</v>
      </c>
      <c r="N9" s="9">
        <f t="shared" si="1"/>
        <v>0.38311166014198123</v>
      </c>
      <c r="O9" s="9">
        <f t="shared" si="2"/>
        <v>0.80851063829787229</v>
      </c>
      <c r="P9" s="9">
        <f t="shared" si="2"/>
        <v>0.18037386291887117</v>
      </c>
      <c r="Q9" s="9">
        <f>F28/F6</f>
        <v>8.4821233937955792E-2</v>
      </c>
      <c r="R9" s="9">
        <f t="shared" si="3"/>
        <v>0.13259754842841348</v>
      </c>
    </row>
    <row r="10" spans="1:32" ht="16.5" thickTop="1" thickBot="1">
      <c r="A10" s="1" t="s">
        <v>9</v>
      </c>
      <c r="B10" s="1">
        <v>571</v>
      </c>
      <c r="C10" s="4">
        <f>Sheet2!AJ5</f>
        <v>2.0800048100000003E-2</v>
      </c>
      <c r="D10" s="1">
        <f>Sheet2!$AJ6</f>
        <v>2.8311552E-2</v>
      </c>
      <c r="E10" s="1">
        <f>Sheet2!$AJ7</f>
        <v>4.9598017390906374E-3</v>
      </c>
      <c r="F10" s="4">
        <f>Sheet2!AK5</f>
        <v>4.0895725799999998E-2</v>
      </c>
      <c r="G10" s="4">
        <f>Sheet2!$AK6</f>
        <v>5.8720255999999998E-2</v>
      </c>
      <c r="H10" s="4">
        <f>Sheet2!$AK7</f>
        <v>8.7871921853844362E-3</v>
      </c>
      <c r="J10" s="6" t="s">
        <v>6</v>
      </c>
      <c r="K10" s="9">
        <f t="shared" si="0"/>
        <v>2</v>
      </c>
      <c r="L10" s="9">
        <f t="shared" si="0"/>
        <v>1.880720416882236</v>
      </c>
      <c r="M10" s="9">
        <f>F18/F7</f>
        <v>0.18805510345096726</v>
      </c>
      <c r="N10" s="9">
        <f t="shared" si="1"/>
        <v>1.0343877601666016</v>
      </c>
      <c r="O10" s="9">
        <f t="shared" si="2"/>
        <v>0.41584158415841582</v>
      </c>
      <c r="P10" s="9">
        <f t="shared" si="2"/>
        <v>0.37837019475423833</v>
      </c>
      <c r="Q10" s="9">
        <f>F29/F7</f>
        <v>0.15010520551389139</v>
      </c>
      <c r="R10" s="9">
        <f t="shared" si="3"/>
        <v>0.26423770013406489</v>
      </c>
    </row>
    <row r="11" spans="1:32" ht="16.5" thickTop="1" thickBot="1">
      <c r="J11" s="6" t="s">
        <v>402</v>
      </c>
      <c r="K11" s="9">
        <f t="shared" si="0"/>
        <v>0.45026455026455026</v>
      </c>
      <c r="L11" s="9">
        <f t="shared" si="0"/>
        <v>1.8550725118794766</v>
      </c>
      <c r="M11" s="9">
        <f>F19/F8</f>
        <v>0.1860966895200383</v>
      </c>
      <c r="N11" s="9">
        <f t="shared" si="1"/>
        <v>1.0205846006997574</v>
      </c>
      <c r="O11" s="9">
        <f t="shared" si="2"/>
        <v>0.42222222222222228</v>
      </c>
      <c r="P11" s="9">
        <f t="shared" si="2"/>
        <v>0.43199253215900058</v>
      </c>
      <c r="Q11" s="9">
        <f>F30/F8</f>
        <v>0.22635815854917726</v>
      </c>
      <c r="R11" s="9">
        <f t="shared" si="3"/>
        <v>0.32917534535408893</v>
      </c>
    </row>
    <row r="12" spans="1:32" ht="16.5" thickTop="1" thickBot="1">
      <c r="J12" s="6" t="s">
        <v>8</v>
      </c>
      <c r="K12" s="9">
        <f t="shared" si="0"/>
        <v>0.60780163289990929</v>
      </c>
      <c r="L12" s="9">
        <f t="shared" si="0"/>
        <v>0.29503421502772548</v>
      </c>
      <c r="M12" s="9">
        <f>F20/F9</f>
        <v>0.13942669542379635</v>
      </c>
      <c r="N12" s="9">
        <f t="shared" si="1"/>
        <v>0.2172304552257609</v>
      </c>
      <c r="O12" s="9">
        <f t="shared" si="2"/>
        <v>0.63410946477169639</v>
      </c>
      <c r="P12" s="9">
        <f t="shared" si="2"/>
        <v>3.406350630112569</v>
      </c>
      <c r="Q12" s="9">
        <f>F31/F9</f>
        <v>1.4817344185546026</v>
      </c>
      <c r="R12" s="9">
        <f t="shared" si="3"/>
        <v>2.4440425243335859</v>
      </c>
    </row>
    <row r="13" spans="1:32" ht="16.5" thickTop="1" thickBot="1">
      <c r="A13" s="1" t="s">
        <v>0</v>
      </c>
      <c r="B13" s="17" t="s">
        <v>3</v>
      </c>
      <c r="C13" s="17"/>
      <c r="D13" s="17"/>
      <c r="E13" s="17"/>
      <c r="F13" s="17"/>
      <c r="G13" s="17"/>
      <c r="H13" s="17"/>
      <c r="J13" s="6" t="s">
        <v>9</v>
      </c>
      <c r="K13" s="9">
        <f t="shared" si="0"/>
        <v>0.39754816112084063</v>
      </c>
      <c r="L13" s="9">
        <f t="shared" si="0"/>
        <v>0.54017564507458993</v>
      </c>
      <c r="M13" s="9">
        <f>F21/F10</f>
        <v>5.4766143800778322E-2</v>
      </c>
      <c r="N13" s="9">
        <f t="shared" si="1"/>
        <v>0.29747089443768415</v>
      </c>
      <c r="O13" s="9">
        <f t="shared" si="2"/>
        <v>0.43782837127845886</v>
      </c>
      <c r="P13" s="9">
        <f t="shared" si="2"/>
        <v>0.24392920033680113</v>
      </c>
      <c r="Q13" s="9">
        <f>F32/F10</f>
        <v>5.2109088622655036E-2</v>
      </c>
      <c r="R13" s="9">
        <f t="shared" si="3"/>
        <v>0.14801914447972808</v>
      </c>
    </row>
    <row r="14" spans="1:32" ht="15.75" thickTop="1">
      <c r="A14" s="10"/>
      <c r="B14" s="11"/>
      <c r="C14" s="21" t="s">
        <v>353</v>
      </c>
      <c r="D14" s="22"/>
      <c r="E14" s="23"/>
      <c r="F14" s="21" t="s">
        <v>354</v>
      </c>
      <c r="G14" s="22"/>
      <c r="H14" s="23"/>
    </row>
    <row r="15" spans="1:32">
      <c r="A15" s="10"/>
      <c r="B15" s="1" t="s">
        <v>386</v>
      </c>
      <c r="C15" s="1" t="s">
        <v>355</v>
      </c>
      <c r="D15" s="1" t="s">
        <v>387</v>
      </c>
      <c r="E15" s="1" t="s">
        <v>368</v>
      </c>
      <c r="F15" s="1" t="s">
        <v>355</v>
      </c>
      <c r="G15" s="1" t="s">
        <v>387</v>
      </c>
      <c r="H15" s="1" t="s">
        <v>368</v>
      </c>
    </row>
    <row r="16" spans="1:32">
      <c r="A16" s="1" t="s">
        <v>5</v>
      </c>
      <c r="B16" s="1">
        <v>1609</v>
      </c>
      <c r="C16" s="4">
        <f>Sheet2!N5</f>
        <v>2.3455387500000001E-2</v>
      </c>
      <c r="D16" s="4">
        <f>Sheet2!$N$6</f>
        <v>3.3030143999999997E-2</v>
      </c>
      <c r="E16" s="4">
        <f>Sheet2!$N$7</f>
        <v>1.4858936450003364E-2</v>
      </c>
      <c r="F16" s="4">
        <f>Sheet2!O5</f>
        <v>1.28253228E-2</v>
      </c>
      <c r="G16" s="4">
        <f>Sheet2!$O$6</f>
        <v>1.9398656E-2</v>
      </c>
      <c r="H16" s="4">
        <f>Sheet2!$O$7</f>
        <v>6.7422494027126034E-3</v>
      </c>
      <c r="J16" s="13"/>
      <c r="K16" s="12" t="s">
        <v>357</v>
      </c>
      <c r="L16" s="12" t="s">
        <v>358</v>
      </c>
      <c r="M16" s="12" t="s">
        <v>361</v>
      </c>
      <c r="N16" s="12" t="s">
        <v>359</v>
      </c>
      <c r="O16" s="12" t="s">
        <v>360</v>
      </c>
      <c r="P16" s="5"/>
      <c r="Q16" s="5"/>
    </row>
    <row r="17" spans="1:30">
      <c r="A17" s="1" t="s">
        <v>7</v>
      </c>
      <c r="B17" s="1">
        <v>152</v>
      </c>
      <c r="C17" s="4">
        <f>Sheet2!P5</f>
        <v>1.0080241600000001E-2</v>
      </c>
      <c r="D17" s="4">
        <f>Sheet2!$P$6</f>
        <v>1.1534335999999999E-2</v>
      </c>
      <c r="E17" s="4">
        <f>Sheet2!$P$7</f>
        <v>2.5470666618809205E-3</v>
      </c>
      <c r="F17" s="4">
        <f>Sheet2!Q6</f>
        <v>1.212416E-3</v>
      </c>
      <c r="G17" s="4">
        <f>Sheet2!$Q$6</f>
        <v>1.212416E-3</v>
      </c>
      <c r="H17" s="4">
        <f>Sheet2!$Q$7</f>
        <v>1.4380315758067686E-3</v>
      </c>
      <c r="J17" s="12" t="s">
        <v>5</v>
      </c>
      <c r="K17" s="12">
        <v>4408</v>
      </c>
      <c r="L17" s="12">
        <v>31</v>
      </c>
      <c r="M17" s="12">
        <v>3</v>
      </c>
      <c r="N17" s="12" t="s">
        <v>363</v>
      </c>
      <c r="O17" s="12" t="s">
        <v>364</v>
      </c>
      <c r="P17" s="5"/>
      <c r="Q17" s="5"/>
    </row>
    <row r="18" spans="1:30">
      <c r="A18" s="1" t="s">
        <v>6</v>
      </c>
      <c r="B18" s="1">
        <v>0.20200000000000001</v>
      </c>
      <c r="C18" s="4">
        <f>Sheet2!R5</f>
        <v>7.1820325000000003E-3</v>
      </c>
      <c r="D18" s="4">
        <f>Sheet2!$R$6</f>
        <v>9.1750400000000006E-3</v>
      </c>
      <c r="E18" s="4">
        <f>Sheet2!$R$7</f>
        <v>1.5117339461444594E-3</v>
      </c>
      <c r="F18" s="4">
        <f>Sheet2!S6</f>
        <v>9.5027200000000005E-4</v>
      </c>
      <c r="G18" s="4">
        <f>Sheet2!$S$6</f>
        <v>9.5027200000000005E-4</v>
      </c>
      <c r="H18" s="4">
        <f>Sheet2!$S$7</f>
        <v>2.9411899497316452E-4</v>
      </c>
      <c r="J18" s="12" t="s">
        <v>7</v>
      </c>
      <c r="K18" s="12">
        <v>30</v>
      </c>
      <c r="L18" s="12">
        <v>14</v>
      </c>
      <c r="M18" s="12">
        <v>2</v>
      </c>
      <c r="N18" s="12" t="s">
        <v>363</v>
      </c>
      <c r="O18" s="12" t="s">
        <v>364</v>
      </c>
      <c r="P18" s="5"/>
      <c r="Q18" s="5"/>
    </row>
    <row r="19" spans="1:30">
      <c r="A19" s="1" t="s">
        <v>10</v>
      </c>
      <c r="B19" s="1">
        <v>0.85099999999999998</v>
      </c>
      <c r="C19" s="4">
        <f>Sheet2!T5</f>
        <v>7.4321729000000007E-3</v>
      </c>
      <c r="D19" s="4">
        <f>Sheet2!$T$6</f>
        <v>1.0747904000000001E-2</v>
      </c>
      <c r="E19" s="4">
        <f>Sheet2!$T$7</f>
        <v>1.5719820500081554E-3</v>
      </c>
      <c r="F19" s="4">
        <f>Sheet2!U6</f>
        <v>9.8303999999999991E-4</v>
      </c>
      <c r="G19" s="4">
        <f>Sheet2!$U$6</f>
        <v>9.8303999999999991E-4</v>
      </c>
      <c r="H19" s="4">
        <f>Sheet2!$U$7</f>
        <v>2.6143285841934556E-4</v>
      </c>
      <c r="J19" s="12" t="s">
        <v>6</v>
      </c>
      <c r="K19" s="12">
        <v>3</v>
      </c>
      <c r="L19" s="12">
        <v>1</v>
      </c>
      <c r="M19" s="12">
        <v>1</v>
      </c>
      <c r="N19" s="12" t="s">
        <v>363</v>
      </c>
      <c r="O19" s="12" t="s">
        <v>364</v>
      </c>
      <c r="P19" s="5"/>
      <c r="Q19" s="5"/>
    </row>
    <row r="20" spans="1:30">
      <c r="A20" s="1" t="s">
        <v>8</v>
      </c>
      <c r="B20" s="1">
        <v>2010</v>
      </c>
      <c r="C20" s="4">
        <f>Sheet2!V5</f>
        <v>2.65341391E-2</v>
      </c>
      <c r="D20" s="4">
        <f>Sheet2!$V$6</f>
        <v>3.8797312E-2</v>
      </c>
      <c r="E20" s="4">
        <f>Sheet2!$V$7</f>
        <v>5.8083741580628647E-3</v>
      </c>
      <c r="F20" s="4">
        <f>Sheet2!W5</f>
        <v>2.2558077699999998E-2</v>
      </c>
      <c r="G20" s="4">
        <f>Sheet2!$W$6</f>
        <v>2.8311552E-2</v>
      </c>
      <c r="H20" s="4">
        <f>Sheet2!$W$7</f>
        <v>6.7625490161826824E-3</v>
      </c>
      <c r="J20" s="12" t="s">
        <v>356</v>
      </c>
      <c r="K20" s="12">
        <v>57</v>
      </c>
      <c r="L20" s="12">
        <v>1</v>
      </c>
      <c r="M20" s="12">
        <v>1</v>
      </c>
      <c r="N20" s="12" t="s">
        <v>363</v>
      </c>
      <c r="O20" s="12" t="s">
        <v>364</v>
      </c>
      <c r="P20" s="5"/>
      <c r="Q20" s="5"/>
    </row>
    <row r="21" spans="1:30">
      <c r="A21" s="1" t="s">
        <v>9</v>
      </c>
      <c r="B21" s="1">
        <v>227</v>
      </c>
      <c r="C21" s="4">
        <f>Sheet2!X5</f>
        <v>1.12356794E-2</v>
      </c>
      <c r="D21" s="4">
        <f>Sheet2!$X$6</f>
        <v>1.4680064E-2</v>
      </c>
      <c r="E21" s="4">
        <f>Sheet2!$X$7</f>
        <v>2.3978330741894838E-3</v>
      </c>
      <c r="F21" s="4">
        <f>Sheet2!Y5</f>
        <v>2.2397011999999998E-3</v>
      </c>
      <c r="G21" s="4">
        <f>Sheet2!$Y$6</f>
        <v>3.2112640000000001E-3</v>
      </c>
      <c r="H21" s="4">
        <f>Sheet2!$Y$7</f>
        <v>1.0374632980614347E-3</v>
      </c>
      <c r="J21" s="12" t="s">
        <v>8</v>
      </c>
      <c r="K21" s="12">
        <v>28795</v>
      </c>
      <c r="L21" s="12">
        <v>4</v>
      </c>
      <c r="M21" s="12">
        <v>1</v>
      </c>
      <c r="N21" s="12" t="s">
        <v>365</v>
      </c>
      <c r="O21" s="12" t="s">
        <v>367</v>
      </c>
      <c r="P21" s="5"/>
      <c r="Q21" s="5"/>
    </row>
    <row r="22" spans="1:30">
      <c r="J22" s="12" t="s">
        <v>9</v>
      </c>
      <c r="K22" s="12">
        <v>1</v>
      </c>
      <c r="L22" s="12">
        <v>43</v>
      </c>
      <c r="M22" s="12">
        <v>3</v>
      </c>
      <c r="N22" s="12" t="s">
        <v>365</v>
      </c>
      <c r="O22" s="12" t="s">
        <v>366</v>
      </c>
      <c r="P22" s="5"/>
      <c r="Q22" s="5"/>
    </row>
    <row r="23" spans="1:30">
      <c r="P23" s="5"/>
      <c r="Q23" s="5"/>
    </row>
    <row r="24" spans="1:30">
      <c r="A24" s="1" t="s">
        <v>0</v>
      </c>
      <c r="B24" s="17" t="s">
        <v>4</v>
      </c>
      <c r="C24" s="17"/>
      <c r="D24" s="17"/>
      <c r="E24" s="17"/>
      <c r="F24" s="17"/>
      <c r="G24" s="17"/>
      <c r="H24" s="17"/>
      <c r="J24" s="5" t="s">
        <v>362</v>
      </c>
      <c r="K24" s="5"/>
      <c r="L24" s="5"/>
      <c r="M24" s="5"/>
      <c r="N24" s="5"/>
      <c r="O24" s="5"/>
      <c r="P24" s="5"/>
      <c r="Q24" s="5"/>
    </row>
    <row r="25" spans="1:30">
      <c r="A25" s="10"/>
      <c r="B25" s="11"/>
      <c r="C25" s="21" t="s">
        <v>353</v>
      </c>
      <c r="D25" s="22"/>
      <c r="E25" s="23"/>
      <c r="F25" s="21" t="s">
        <v>354</v>
      </c>
      <c r="G25" s="22"/>
      <c r="H25" s="23"/>
      <c r="J25" s="5"/>
      <c r="K25" s="5"/>
      <c r="L25" s="5"/>
      <c r="M25" s="5"/>
      <c r="N25" s="5"/>
      <c r="O25" s="5"/>
      <c r="P25" s="5"/>
      <c r="Q25" s="5"/>
    </row>
    <row r="26" spans="1:30">
      <c r="A26" s="10"/>
      <c r="B26" s="1" t="s">
        <v>386</v>
      </c>
      <c r="C26" s="1" t="s">
        <v>355</v>
      </c>
      <c r="D26" s="1" t="s">
        <v>387</v>
      </c>
      <c r="E26" s="1" t="s">
        <v>368</v>
      </c>
      <c r="F26" s="1" t="s">
        <v>355</v>
      </c>
      <c r="G26" s="1" t="s">
        <v>387</v>
      </c>
      <c r="H26" s="1" t="s">
        <v>368</v>
      </c>
      <c r="J26" s="5"/>
      <c r="K26" s="5"/>
      <c r="L26" s="5"/>
      <c r="M26" s="5"/>
      <c r="N26" s="5"/>
      <c r="O26" s="5"/>
      <c r="P26" s="5"/>
      <c r="Q26" s="5"/>
    </row>
    <row r="27" spans="1:30">
      <c r="A27" s="1" t="s">
        <v>5</v>
      </c>
      <c r="B27" s="1">
        <v>1777</v>
      </c>
      <c r="C27" s="4">
        <f>Sheet2!B5</f>
        <v>5.6794175799999999E-2</v>
      </c>
      <c r="D27" s="4">
        <f>Sheet2!$B$6</f>
        <v>7.3400320000000005E-2</v>
      </c>
      <c r="E27" s="4">
        <f>Sheet2!$B$7</f>
        <v>1.4391909841543897E-2</v>
      </c>
      <c r="F27" s="4">
        <f>Sheet2!C5</f>
        <v>5.7037038999999998E-2</v>
      </c>
      <c r="G27" s="4">
        <f>Sheet2!$C$6</f>
        <v>7.7594624000000001E-2</v>
      </c>
      <c r="H27" s="4">
        <f>Sheet2!$C$7</f>
        <v>1.3716635982516993E-2</v>
      </c>
      <c r="J27" t="s">
        <v>369</v>
      </c>
      <c r="K27" s="5" t="s">
        <v>376</v>
      </c>
      <c r="L27" s="5"/>
      <c r="M27" s="5"/>
      <c r="N27" s="5"/>
      <c r="O27" s="5"/>
      <c r="P27" s="5"/>
      <c r="Q27" s="5"/>
    </row>
    <row r="28" spans="1:30">
      <c r="A28" s="1" t="s">
        <v>7</v>
      </c>
      <c r="B28" s="1">
        <v>152</v>
      </c>
      <c r="C28" s="4">
        <f>Sheet2!D5</f>
        <v>2.6014217999999999E-3</v>
      </c>
      <c r="D28" s="4">
        <f>Sheet2!$D$6</f>
        <v>3.538944E-3</v>
      </c>
      <c r="E28" s="4">
        <f>Sheet2!$D$7</f>
        <v>6.6351049987595809E-4</v>
      </c>
      <c r="F28" s="4">
        <f>Sheet2!E5</f>
        <v>1.5282176999999999E-3</v>
      </c>
      <c r="G28" s="4">
        <f>Sheet2!$E$6</f>
        <v>2.1626879999999999E-3</v>
      </c>
      <c r="H28" s="4">
        <f>Sheet2!$E$7</f>
        <v>5.2734028747642824E-4</v>
      </c>
      <c r="J28" t="s">
        <v>370</v>
      </c>
      <c r="K28" t="s">
        <v>375</v>
      </c>
    </row>
    <row r="29" spans="1:30">
      <c r="A29" s="1" t="s">
        <v>6</v>
      </c>
      <c r="B29" s="1">
        <v>4.2000000000000003E-2</v>
      </c>
      <c r="C29" s="4">
        <f>Sheet2!F5</f>
        <v>1.4449075E-3</v>
      </c>
      <c r="D29" s="4">
        <f>Sheet2!$F$6</f>
        <v>1.7039360000000001E-3</v>
      </c>
      <c r="E29" s="4">
        <f>Sheet2!$F$7</f>
        <v>3.6969654411760772E-4</v>
      </c>
      <c r="F29" s="4">
        <f>Sheet2!G5</f>
        <v>7.5850519999999999E-4</v>
      </c>
      <c r="G29" s="4">
        <f>Sheet2!$G$6</f>
        <v>8.5196800000000004E-4</v>
      </c>
      <c r="H29" s="4">
        <f>Sheet2!$G$7</f>
        <v>3.8047093923006476E-4</v>
      </c>
      <c r="J29" t="s">
        <v>371</v>
      </c>
      <c r="K29" t="s">
        <v>377</v>
      </c>
    </row>
    <row r="30" spans="1:30">
      <c r="A30" s="1" t="s">
        <v>10</v>
      </c>
      <c r="B30" s="1">
        <v>0.79800000000000004</v>
      </c>
      <c r="C30" s="4">
        <f>Sheet2!H5</f>
        <v>1.7307372999999999E-3</v>
      </c>
      <c r="D30" s="4">
        <f>Sheet2!$H$6</f>
        <v>2.424832E-3</v>
      </c>
      <c r="E30" s="4">
        <f>Sheet2!$H$7</f>
        <v>5.1390256970553709E-4</v>
      </c>
      <c r="F30" s="4">
        <f>Sheet2!I5</f>
        <v>1.1957177999999998E-3</v>
      </c>
      <c r="G30" s="4">
        <f>Sheet2!$I$6</f>
        <v>1.9660799999999998E-3</v>
      </c>
      <c r="H30" s="4">
        <f>Sheet2!$I$7</f>
        <v>3.3117483055607666E-4</v>
      </c>
      <c r="J30" t="s">
        <v>372</v>
      </c>
      <c r="K30" t="s">
        <v>378</v>
      </c>
      <c r="W30" s="25"/>
      <c r="X30" s="21" t="s">
        <v>384</v>
      </c>
      <c r="Y30" s="22"/>
      <c r="Z30" s="22"/>
      <c r="AA30" s="22"/>
      <c r="AB30" s="22"/>
      <c r="AC30" s="22"/>
      <c r="AD30" s="23"/>
    </row>
    <row r="31" spans="1:30">
      <c r="A31" s="1" t="s">
        <v>8</v>
      </c>
      <c r="B31" s="1">
        <v>2097</v>
      </c>
      <c r="C31" s="4">
        <f>Sheet2!J5</f>
        <v>0.30635287989999999</v>
      </c>
      <c r="D31" s="4">
        <f>Sheet2!$J$6</f>
        <v>0.402653184</v>
      </c>
      <c r="E31" s="4">
        <f>Sheet2!$J$7</f>
        <v>7.1319472883962953E-2</v>
      </c>
      <c r="F31" s="4">
        <f>Sheet2!K5</f>
        <v>0.23973228399999999</v>
      </c>
      <c r="G31" s="4">
        <f>Sheet2!$K$6</f>
        <v>0.36071014400000001</v>
      </c>
      <c r="H31" s="4">
        <f>Sheet2!$K$7</f>
        <v>5.2087046393003184E-2</v>
      </c>
      <c r="J31" t="s">
        <v>373</v>
      </c>
      <c r="K31" t="s">
        <v>379</v>
      </c>
      <c r="W31" s="10"/>
      <c r="X31" s="10"/>
      <c r="Y31" s="21" t="s">
        <v>353</v>
      </c>
      <c r="Z31" s="22"/>
      <c r="AA31" s="23"/>
      <c r="AB31" s="21" t="s">
        <v>354</v>
      </c>
      <c r="AC31" s="22"/>
      <c r="AD31" s="23"/>
    </row>
    <row r="32" spans="1:30">
      <c r="A32" s="1" t="s">
        <v>9</v>
      </c>
      <c r="B32" s="1">
        <v>250</v>
      </c>
      <c r="C32" s="4">
        <f>Sheet2!L5</f>
        <v>5.0737391000000003E-3</v>
      </c>
      <c r="D32" s="4">
        <f>Sheet2!$L$6</f>
        <v>9.3061120000000001E-3</v>
      </c>
      <c r="E32" s="4">
        <f>Sheet2!$L$7</f>
        <v>1.2329612741153607E-3</v>
      </c>
      <c r="F32" s="4">
        <f>Sheet2!M5</f>
        <v>2.1310389999999999E-3</v>
      </c>
      <c r="G32" s="4">
        <f>Sheet2!$M$6</f>
        <v>2.5559039999999999E-3</v>
      </c>
      <c r="H32" s="4">
        <f>Sheet2!$M$7</f>
        <v>5.6298871888837705E-4</v>
      </c>
      <c r="J32" t="s">
        <v>374</v>
      </c>
      <c r="K32" t="s">
        <v>375</v>
      </c>
      <c r="W32" s="1" t="s">
        <v>0</v>
      </c>
      <c r="X32" s="1" t="s">
        <v>386</v>
      </c>
      <c r="Y32" s="1" t="s">
        <v>355</v>
      </c>
      <c r="Z32" s="1" t="s">
        <v>387</v>
      </c>
      <c r="AA32" s="1" t="s">
        <v>368</v>
      </c>
      <c r="AB32" s="1" t="s">
        <v>355</v>
      </c>
      <c r="AC32" s="1" t="s">
        <v>387</v>
      </c>
      <c r="AD32" s="1" t="s">
        <v>368</v>
      </c>
    </row>
    <row r="33" spans="1:30">
      <c r="W33" s="1" t="s">
        <v>5</v>
      </c>
      <c r="X33" s="1">
        <v>4849</v>
      </c>
      <c r="Y33" s="1">
        <v>86.678838299999995</v>
      </c>
      <c r="Z33" s="1">
        <v>138.41203199999998</v>
      </c>
      <c r="AA33" s="1">
        <v>26.030018891855875</v>
      </c>
      <c r="AB33" s="1">
        <v>181.0591623</v>
      </c>
      <c r="AC33" s="1">
        <v>234.881024</v>
      </c>
      <c r="AD33" s="1">
        <v>46.811658558229361</v>
      </c>
    </row>
    <row r="34" spans="1:30">
      <c r="A34" s="1" t="s">
        <v>0</v>
      </c>
      <c r="B34" s="17" t="s">
        <v>384</v>
      </c>
      <c r="C34" s="17"/>
      <c r="D34" s="17"/>
      <c r="E34" s="17"/>
      <c r="F34" s="17"/>
      <c r="G34" s="17"/>
      <c r="H34" s="17"/>
      <c r="W34" s="1" t="s">
        <v>7</v>
      </c>
      <c r="X34" s="1">
        <v>188</v>
      </c>
      <c r="Y34" s="1">
        <v>14.422387799999999</v>
      </c>
      <c r="Z34" s="1">
        <v>17.301503999999998</v>
      </c>
      <c r="AA34" s="1">
        <v>4.3575475678301832</v>
      </c>
      <c r="AB34" s="1">
        <v>18.0169237</v>
      </c>
      <c r="AC34" s="1">
        <v>23.068671999999999</v>
      </c>
      <c r="AD34" s="1">
        <v>5.2368389172195391</v>
      </c>
    </row>
    <row r="35" spans="1:30">
      <c r="A35" s="10"/>
      <c r="B35" s="11"/>
      <c r="C35" s="17" t="s">
        <v>353</v>
      </c>
      <c r="D35" s="17"/>
      <c r="E35" s="17"/>
      <c r="F35" s="17" t="s">
        <v>354</v>
      </c>
      <c r="G35" s="17"/>
      <c r="H35" s="17"/>
      <c r="J35" t="s">
        <v>380</v>
      </c>
      <c r="W35" s="1" t="s">
        <v>6</v>
      </c>
      <c r="X35" s="1">
        <v>0.10100000000000001</v>
      </c>
      <c r="Y35" s="1">
        <v>3.8187666999999998</v>
      </c>
      <c r="Z35" s="1">
        <v>5.1118079999999999</v>
      </c>
      <c r="AA35" s="1">
        <v>0.95077399536885732</v>
      </c>
      <c r="AB35" s="1">
        <v>5.0531572000000002</v>
      </c>
      <c r="AC35" s="1">
        <v>6.5535999999999994</v>
      </c>
      <c r="AD35" s="1">
        <v>1.1390764835473435</v>
      </c>
    </row>
    <row r="36" spans="1:30">
      <c r="A36" s="10"/>
      <c r="B36" s="1" t="s">
        <v>386</v>
      </c>
      <c r="C36" s="1" t="s">
        <v>355</v>
      </c>
      <c r="D36" s="1" t="s">
        <v>387</v>
      </c>
      <c r="E36" s="1" t="s">
        <v>368</v>
      </c>
      <c r="F36" s="1" t="s">
        <v>355</v>
      </c>
      <c r="G36" s="1" t="s">
        <v>387</v>
      </c>
      <c r="H36" s="1" t="s">
        <v>368</v>
      </c>
      <c r="J36" t="s">
        <v>381</v>
      </c>
      <c r="W36" s="1" t="s">
        <v>10</v>
      </c>
      <c r="X36" s="1">
        <v>1.89</v>
      </c>
      <c r="Y36" s="1">
        <v>4.0064055999999999</v>
      </c>
      <c r="Z36" s="1">
        <v>113.246208</v>
      </c>
      <c r="AA36" s="1">
        <v>20.087193554670627</v>
      </c>
      <c r="AB36" s="1">
        <v>5.2824153000000003</v>
      </c>
      <c r="AC36" s="1">
        <v>6.8157440000000005</v>
      </c>
      <c r="AD36" s="1">
        <v>1.8396456078077408</v>
      </c>
    </row>
    <row r="37" spans="1:30">
      <c r="A37" s="1" t="s">
        <v>5</v>
      </c>
      <c r="B37" s="1">
        <v>4849</v>
      </c>
      <c r="C37" s="1">
        <f t="shared" ref="C37:H42" si="4">C5*1000</f>
        <v>86.678838299999995</v>
      </c>
      <c r="D37" s="1">
        <f t="shared" si="4"/>
        <v>138.41203199999998</v>
      </c>
      <c r="E37" s="1">
        <f t="shared" si="4"/>
        <v>26.030018891855875</v>
      </c>
      <c r="F37" s="1">
        <f t="shared" si="4"/>
        <v>181.0591623</v>
      </c>
      <c r="G37" s="1">
        <f t="shared" si="4"/>
        <v>234.881024</v>
      </c>
      <c r="H37" s="1">
        <f t="shared" si="4"/>
        <v>46.811658558229361</v>
      </c>
      <c r="J37" t="s">
        <v>382</v>
      </c>
      <c r="W37" s="1" t="s">
        <v>8</v>
      </c>
      <c r="X37" s="1">
        <v>3307</v>
      </c>
      <c r="Y37" s="1">
        <v>89.935803199999995</v>
      </c>
      <c r="Z37" s="1">
        <v>17.301503999999998</v>
      </c>
      <c r="AA37" s="1">
        <v>4.3575475678301832</v>
      </c>
      <c r="AB37" s="1">
        <v>161.79166860000001</v>
      </c>
      <c r="AC37" s="1">
        <v>201.32659200000001</v>
      </c>
      <c r="AD37" s="1">
        <v>34.671739875920089</v>
      </c>
    </row>
    <row r="38" spans="1:30">
      <c r="A38" s="1" t="s">
        <v>7</v>
      </c>
      <c r="B38" s="1">
        <v>188</v>
      </c>
      <c r="C38" s="1">
        <f t="shared" si="4"/>
        <v>14.422387799999999</v>
      </c>
      <c r="D38" s="1">
        <f t="shared" si="4"/>
        <v>17.301503999999998</v>
      </c>
      <c r="E38" s="1">
        <f t="shared" si="4"/>
        <v>4.3575475678301832</v>
      </c>
      <c r="F38" s="1">
        <f t="shared" si="4"/>
        <v>18.0169237</v>
      </c>
      <c r="G38" s="1">
        <f t="shared" si="4"/>
        <v>23.068671999999999</v>
      </c>
      <c r="H38" s="1">
        <f t="shared" si="4"/>
        <v>5.2368389172195391</v>
      </c>
      <c r="W38" s="1" t="s">
        <v>9</v>
      </c>
      <c r="X38" s="1">
        <v>571</v>
      </c>
      <c r="Y38" s="1">
        <v>20.800048100000001</v>
      </c>
      <c r="Z38" s="1">
        <v>28.311551999999999</v>
      </c>
      <c r="AA38" s="1">
        <v>4.9598017390906373</v>
      </c>
      <c r="AB38" s="1">
        <v>40.895725800000001</v>
      </c>
      <c r="AC38" s="1">
        <v>58.720255999999999</v>
      </c>
      <c r="AD38" s="1">
        <v>8.7871921853844359</v>
      </c>
    </row>
    <row r="39" spans="1:30">
      <c r="A39" s="1" t="s">
        <v>6</v>
      </c>
      <c r="B39" s="1">
        <v>0.10100000000000001</v>
      </c>
      <c r="C39" s="1">
        <f t="shared" si="4"/>
        <v>3.8187666999999998</v>
      </c>
      <c r="D39" s="1">
        <f t="shared" si="4"/>
        <v>5.1118079999999999</v>
      </c>
      <c r="E39" s="1">
        <f t="shared" si="4"/>
        <v>0.95077399536885732</v>
      </c>
      <c r="F39" s="1">
        <f t="shared" si="4"/>
        <v>5.0531572000000002</v>
      </c>
      <c r="G39" s="1">
        <f t="shared" si="4"/>
        <v>6.5535999999999994</v>
      </c>
      <c r="H39" s="1">
        <f t="shared" si="4"/>
        <v>1.1390764835473435</v>
      </c>
      <c r="W39" s="26"/>
      <c r="X39" s="26"/>
      <c r="Y39" s="26"/>
      <c r="Z39" s="26"/>
      <c r="AA39" s="26"/>
      <c r="AB39" s="26"/>
      <c r="AC39" s="26"/>
      <c r="AD39" s="26"/>
    </row>
    <row r="40" spans="1:30">
      <c r="A40" s="1" t="s">
        <v>10</v>
      </c>
      <c r="B40" s="1">
        <v>1.89</v>
      </c>
      <c r="C40" s="1">
        <f t="shared" si="4"/>
        <v>4.0064055999999999</v>
      </c>
      <c r="D40" s="1">
        <f t="shared" si="4"/>
        <v>113.246208</v>
      </c>
      <c r="E40" s="1">
        <f t="shared" si="4"/>
        <v>20.087193554670627</v>
      </c>
      <c r="F40" s="1">
        <f t="shared" si="4"/>
        <v>5.2824153000000003</v>
      </c>
      <c r="G40" s="1">
        <f t="shared" si="4"/>
        <v>6.8157440000000005</v>
      </c>
      <c r="H40" s="1">
        <f t="shared" si="4"/>
        <v>1.8396456078077408</v>
      </c>
      <c r="W40" s="26"/>
      <c r="X40" s="26"/>
      <c r="Y40" s="26"/>
      <c r="Z40" s="26"/>
      <c r="AA40" s="26"/>
      <c r="AB40" s="26"/>
      <c r="AC40" s="26"/>
      <c r="AD40" s="26"/>
    </row>
    <row r="41" spans="1:30">
      <c r="A41" s="1" t="s">
        <v>8</v>
      </c>
      <c r="B41" s="1">
        <v>3307</v>
      </c>
      <c r="C41" s="1">
        <f t="shared" si="4"/>
        <v>89.935803199999995</v>
      </c>
      <c r="D41" s="1">
        <f t="shared" si="4"/>
        <v>17.301503999999998</v>
      </c>
      <c r="E41" s="1">
        <f t="shared" si="4"/>
        <v>4.3575475678301832</v>
      </c>
      <c r="F41" s="1">
        <f t="shared" si="4"/>
        <v>161.79166860000001</v>
      </c>
      <c r="G41" s="1">
        <f t="shared" si="4"/>
        <v>201.32659200000001</v>
      </c>
      <c r="H41" s="1">
        <f t="shared" si="4"/>
        <v>34.671739875920089</v>
      </c>
      <c r="W41" s="25"/>
      <c r="X41" s="21" t="s">
        <v>385</v>
      </c>
      <c r="Y41" s="22"/>
      <c r="Z41" s="22"/>
      <c r="AA41" s="22"/>
      <c r="AB41" s="22"/>
      <c r="AC41" s="22"/>
      <c r="AD41" s="23"/>
    </row>
    <row r="42" spans="1:30">
      <c r="A42" s="1" t="s">
        <v>9</v>
      </c>
      <c r="B42" s="1">
        <v>571</v>
      </c>
      <c r="C42" s="1">
        <f t="shared" si="4"/>
        <v>20.800048100000001</v>
      </c>
      <c r="D42" s="1">
        <f t="shared" si="4"/>
        <v>28.311551999999999</v>
      </c>
      <c r="E42" s="1">
        <f t="shared" si="4"/>
        <v>4.9598017390906373</v>
      </c>
      <c r="F42" s="1">
        <f t="shared" si="4"/>
        <v>40.895725800000001</v>
      </c>
      <c r="G42" s="1">
        <f t="shared" si="4"/>
        <v>58.720255999999999</v>
      </c>
      <c r="H42" s="1">
        <f t="shared" si="4"/>
        <v>8.7871921853844359</v>
      </c>
      <c r="W42" s="10"/>
      <c r="X42" s="10"/>
      <c r="Y42" s="21" t="s">
        <v>353</v>
      </c>
      <c r="Z42" s="22"/>
      <c r="AA42" s="23"/>
      <c r="AB42" s="21" t="s">
        <v>354</v>
      </c>
      <c r="AC42" s="22"/>
      <c r="AD42" s="23"/>
    </row>
    <row r="43" spans="1:30">
      <c r="W43" s="1" t="s">
        <v>0</v>
      </c>
      <c r="X43" s="1" t="s">
        <v>386</v>
      </c>
      <c r="Y43" s="1" t="s">
        <v>355</v>
      </c>
      <c r="Z43" s="1" t="s">
        <v>387</v>
      </c>
      <c r="AA43" s="1" t="s">
        <v>368</v>
      </c>
      <c r="AB43" s="1" t="s">
        <v>355</v>
      </c>
      <c r="AC43" s="1" t="s">
        <v>387</v>
      </c>
      <c r="AD43" s="1" t="s">
        <v>368</v>
      </c>
    </row>
    <row r="44" spans="1:30">
      <c r="W44" s="1" t="s">
        <v>5</v>
      </c>
      <c r="X44" s="1">
        <v>1609</v>
      </c>
      <c r="Y44" s="1">
        <v>23.455387500000001</v>
      </c>
      <c r="Z44" s="1">
        <v>33.030144</v>
      </c>
      <c r="AA44" s="1">
        <v>14.858936450003364</v>
      </c>
      <c r="AB44" s="1">
        <v>12.8253228</v>
      </c>
      <c r="AC44" s="1">
        <v>19.398655999999999</v>
      </c>
      <c r="AD44" s="1">
        <v>6.742249402712603</v>
      </c>
    </row>
    <row r="45" spans="1:30">
      <c r="A45" s="1" t="s">
        <v>0</v>
      </c>
      <c r="B45" s="17" t="s">
        <v>385</v>
      </c>
      <c r="C45" s="17"/>
      <c r="D45" s="17"/>
      <c r="E45" s="17"/>
      <c r="F45" s="17"/>
      <c r="G45" s="17"/>
      <c r="H45" s="17"/>
      <c r="W45" s="1" t="s">
        <v>7</v>
      </c>
      <c r="X45" s="1">
        <v>150</v>
      </c>
      <c r="Y45" s="1">
        <v>10.080241600000001</v>
      </c>
      <c r="Z45" s="1">
        <v>11.534336</v>
      </c>
      <c r="AA45" s="1">
        <v>2.5470666618809203</v>
      </c>
      <c r="AB45" s="1">
        <v>1.2124159999999999</v>
      </c>
      <c r="AC45" s="1">
        <v>1.2124159999999999</v>
      </c>
      <c r="AD45" s="1">
        <v>1.4380315758067685</v>
      </c>
    </row>
    <row r="46" spans="1:30">
      <c r="A46" s="10"/>
      <c r="B46" s="11"/>
      <c r="C46" s="21" t="s">
        <v>353</v>
      </c>
      <c r="D46" s="22"/>
      <c r="E46" s="23"/>
      <c r="F46" s="21" t="s">
        <v>354</v>
      </c>
      <c r="G46" s="22"/>
      <c r="H46" s="23"/>
      <c r="W46" s="1" t="s">
        <v>6</v>
      </c>
      <c r="X46" s="1">
        <v>0.20200000000000001</v>
      </c>
      <c r="Y46" s="1">
        <v>7.1820325</v>
      </c>
      <c r="Z46" s="1">
        <v>9.175040000000001</v>
      </c>
      <c r="AA46" s="1">
        <v>1.5117339461444594</v>
      </c>
      <c r="AB46" s="1">
        <v>0.95027200000000001</v>
      </c>
      <c r="AC46" s="1">
        <v>0.95027200000000001</v>
      </c>
      <c r="AD46" s="1">
        <v>0.29411899497316452</v>
      </c>
    </row>
    <row r="47" spans="1:30">
      <c r="A47" s="10"/>
      <c r="B47" s="1" t="s">
        <v>386</v>
      </c>
      <c r="C47" s="1" t="s">
        <v>355</v>
      </c>
      <c r="D47" s="1" t="s">
        <v>387</v>
      </c>
      <c r="E47" s="1" t="s">
        <v>368</v>
      </c>
      <c r="F47" s="1" t="s">
        <v>355</v>
      </c>
      <c r="G47" s="1" t="s">
        <v>387</v>
      </c>
      <c r="H47" s="1" t="s">
        <v>368</v>
      </c>
      <c r="W47" s="1" t="s">
        <v>10</v>
      </c>
      <c r="X47" s="1">
        <v>0.85099999999999998</v>
      </c>
      <c r="Y47" s="1">
        <v>7.4321729000000003</v>
      </c>
      <c r="Z47" s="1">
        <v>10.747904</v>
      </c>
      <c r="AA47" s="1">
        <v>1.5719820500081554</v>
      </c>
      <c r="AB47" s="1">
        <v>0.98303999999999991</v>
      </c>
      <c r="AC47" s="1">
        <v>0.98303999999999991</v>
      </c>
      <c r="AD47" s="1">
        <v>0.26143285841934555</v>
      </c>
    </row>
    <row r="48" spans="1:30">
      <c r="A48" s="1" t="s">
        <v>5</v>
      </c>
      <c r="B48" s="1">
        <v>1609</v>
      </c>
      <c r="C48" s="4">
        <f>C16*1000</f>
        <v>23.455387500000001</v>
      </c>
      <c r="D48" s="4">
        <f t="shared" ref="D48:H48" si="5">D16*1000</f>
        <v>33.030144</v>
      </c>
      <c r="E48" s="4">
        <f t="shared" si="5"/>
        <v>14.858936450003364</v>
      </c>
      <c r="F48" s="4">
        <f t="shared" si="5"/>
        <v>12.8253228</v>
      </c>
      <c r="G48" s="4">
        <f t="shared" si="5"/>
        <v>19.398655999999999</v>
      </c>
      <c r="H48" s="4">
        <f t="shared" si="5"/>
        <v>6.742249402712603</v>
      </c>
      <c r="W48" s="1" t="s">
        <v>8</v>
      </c>
      <c r="X48" s="1">
        <v>2010</v>
      </c>
      <c r="Y48" s="1">
        <v>26.534139100000001</v>
      </c>
      <c r="Z48" s="1">
        <v>38.797311999999998</v>
      </c>
      <c r="AA48" s="1">
        <v>5.8083741580628647</v>
      </c>
      <c r="AB48" s="1">
        <v>22.558077699999998</v>
      </c>
      <c r="AC48" s="1">
        <v>28.311551999999999</v>
      </c>
      <c r="AD48" s="1">
        <v>6.7625490161826827</v>
      </c>
    </row>
    <row r="49" spans="1:30">
      <c r="A49" s="1" t="s">
        <v>7</v>
      </c>
      <c r="B49" s="1">
        <v>150</v>
      </c>
      <c r="C49" s="4">
        <f t="shared" ref="C49:H53" si="6">C17*1000</f>
        <v>10.080241600000001</v>
      </c>
      <c r="D49" s="4">
        <f t="shared" si="6"/>
        <v>11.534336</v>
      </c>
      <c r="E49" s="4">
        <f t="shared" si="6"/>
        <v>2.5470666618809203</v>
      </c>
      <c r="F49" s="4">
        <f t="shared" si="6"/>
        <v>1.2124159999999999</v>
      </c>
      <c r="G49" s="4">
        <f t="shared" si="6"/>
        <v>1.2124159999999999</v>
      </c>
      <c r="H49" s="4">
        <f t="shared" si="6"/>
        <v>1.4380315758067685</v>
      </c>
      <c r="W49" s="1" t="s">
        <v>9</v>
      </c>
      <c r="X49" s="1">
        <v>227</v>
      </c>
      <c r="Y49" s="1">
        <v>11.2356794</v>
      </c>
      <c r="Z49" s="1">
        <v>14.680064</v>
      </c>
      <c r="AA49" s="1">
        <v>2.3978330741894838</v>
      </c>
      <c r="AB49" s="1">
        <v>2.2397011999999998</v>
      </c>
      <c r="AC49" s="1">
        <v>3.2112640000000003</v>
      </c>
      <c r="AD49" s="1">
        <v>1.0374632980614347</v>
      </c>
    </row>
    <row r="50" spans="1:30">
      <c r="A50" s="1" t="s">
        <v>6</v>
      </c>
      <c r="B50" s="1">
        <v>0.20200000000000001</v>
      </c>
      <c r="C50" s="4">
        <f t="shared" si="6"/>
        <v>7.1820325</v>
      </c>
      <c r="D50" s="4">
        <f t="shared" si="6"/>
        <v>9.175040000000001</v>
      </c>
      <c r="E50" s="4">
        <f t="shared" si="6"/>
        <v>1.5117339461444594</v>
      </c>
      <c r="F50" s="4">
        <f t="shared" si="6"/>
        <v>0.95027200000000001</v>
      </c>
      <c r="G50" s="4">
        <f t="shared" si="6"/>
        <v>0.95027200000000001</v>
      </c>
      <c r="H50" s="4">
        <f t="shared" si="6"/>
        <v>0.29411899497316452</v>
      </c>
      <c r="W50" s="26"/>
      <c r="X50" s="26"/>
      <c r="Y50" s="26"/>
      <c r="Z50" s="26"/>
      <c r="AA50" s="26"/>
      <c r="AB50" s="26"/>
      <c r="AC50" s="26"/>
      <c r="AD50" s="26"/>
    </row>
    <row r="51" spans="1:30">
      <c r="A51" s="1" t="s">
        <v>10</v>
      </c>
      <c r="B51" s="1">
        <v>0.85099999999999998</v>
      </c>
      <c r="C51" s="4">
        <f t="shared" si="6"/>
        <v>7.4321729000000003</v>
      </c>
      <c r="D51" s="4">
        <f t="shared" si="6"/>
        <v>10.747904</v>
      </c>
      <c r="E51" s="4">
        <f t="shared" si="6"/>
        <v>1.5719820500081554</v>
      </c>
      <c r="F51" s="4">
        <f t="shared" si="6"/>
        <v>0.98303999999999991</v>
      </c>
      <c r="G51" s="4">
        <f t="shared" si="6"/>
        <v>0.98303999999999991</v>
      </c>
      <c r="H51" s="4">
        <f t="shared" si="6"/>
        <v>0.26143285841934555</v>
      </c>
      <c r="W51" s="26"/>
      <c r="X51" s="26"/>
      <c r="Y51" s="26"/>
      <c r="Z51" s="26"/>
      <c r="AA51" s="26"/>
      <c r="AB51" s="26"/>
      <c r="AC51" s="26"/>
      <c r="AD51" s="26"/>
    </row>
    <row r="52" spans="1:30">
      <c r="A52" s="1" t="s">
        <v>8</v>
      </c>
      <c r="B52" s="1">
        <v>2010</v>
      </c>
      <c r="C52" s="4">
        <f t="shared" si="6"/>
        <v>26.534139100000001</v>
      </c>
      <c r="D52" s="4">
        <f t="shared" si="6"/>
        <v>38.797311999999998</v>
      </c>
      <c r="E52" s="4">
        <f t="shared" si="6"/>
        <v>5.8083741580628647</v>
      </c>
      <c r="F52" s="4">
        <f t="shared" si="6"/>
        <v>22.558077699999998</v>
      </c>
      <c r="G52" s="4">
        <f t="shared" si="6"/>
        <v>28.311551999999999</v>
      </c>
      <c r="H52" s="4">
        <f t="shared" si="6"/>
        <v>6.7625490161826827</v>
      </c>
      <c r="W52" s="25"/>
      <c r="X52" s="21" t="s">
        <v>403</v>
      </c>
      <c r="Y52" s="22"/>
      <c r="Z52" s="22"/>
      <c r="AA52" s="22"/>
      <c r="AB52" s="22"/>
      <c r="AC52" s="22"/>
      <c r="AD52" s="23"/>
    </row>
    <row r="53" spans="1:30">
      <c r="A53" s="1" t="s">
        <v>9</v>
      </c>
      <c r="B53" s="1">
        <v>227</v>
      </c>
      <c r="C53" s="4">
        <f t="shared" si="6"/>
        <v>11.2356794</v>
      </c>
      <c r="D53" s="4">
        <f t="shared" si="6"/>
        <v>14.680064</v>
      </c>
      <c r="E53" s="4">
        <f t="shared" si="6"/>
        <v>2.3978330741894838</v>
      </c>
      <c r="F53" s="4">
        <f t="shared" si="6"/>
        <v>2.2397011999999998</v>
      </c>
      <c r="G53" s="4">
        <f t="shared" si="6"/>
        <v>3.2112640000000003</v>
      </c>
      <c r="H53" s="4">
        <f t="shared" si="6"/>
        <v>1.0374632980614347</v>
      </c>
      <c r="W53" s="10"/>
      <c r="X53" s="10"/>
      <c r="Y53" s="21" t="s">
        <v>353</v>
      </c>
      <c r="Z53" s="22"/>
      <c r="AA53" s="23"/>
      <c r="AB53" s="21" t="s">
        <v>354</v>
      </c>
      <c r="AC53" s="22"/>
      <c r="AD53" s="23"/>
    </row>
    <row r="54" spans="1:30">
      <c r="W54" s="1" t="s">
        <v>0</v>
      </c>
      <c r="X54" s="1" t="s">
        <v>386</v>
      </c>
      <c r="Y54" s="1" t="s">
        <v>355</v>
      </c>
      <c r="Z54" s="1" t="s">
        <v>387</v>
      </c>
      <c r="AA54" s="1" t="s">
        <v>368</v>
      </c>
      <c r="AB54" s="1" t="s">
        <v>355</v>
      </c>
      <c r="AC54" s="1" t="s">
        <v>387</v>
      </c>
      <c r="AD54" s="1" t="s">
        <v>368</v>
      </c>
    </row>
    <row r="55" spans="1:30">
      <c r="W55" s="1" t="s">
        <v>5</v>
      </c>
      <c r="X55" s="1">
        <v>1777</v>
      </c>
      <c r="Y55" s="1">
        <v>56.794175799999998</v>
      </c>
      <c r="Z55" s="1">
        <v>73.400320000000008</v>
      </c>
      <c r="AA55" s="1">
        <v>14.391909841543896</v>
      </c>
      <c r="AB55" s="1">
        <v>57.037039</v>
      </c>
      <c r="AC55" s="1">
        <v>77.594623999999996</v>
      </c>
      <c r="AD55" s="1">
        <v>13.716635982516992</v>
      </c>
    </row>
    <row r="56" spans="1:30">
      <c r="A56" s="1" t="s">
        <v>0</v>
      </c>
      <c r="B56" s="17" t="s">
        <v>403</v>
      </c>
      <c r="C56" s="17"/>
      <c r="D56" s="17"/>
      <c r="E56" s="17"/>
      <c r="F56" s="17"/>
      <c r="G56" s="17"/>
      <c r="H56" s="17"/>
      <c r="W56" s="1" t="s">
        <v>7</v>
      </c>
      <c r="X56" s="1">
        <v>152</v>
      </c>
      <c r="Y56" s="1">
        <v>2.6014217999999998</v>
      </c>
      <c r="Z56" s="1">
        <v>3.5389439999999999</v>
      </c>
      <c r="AA56" s="1">
        <v>0.66351049987595812</v>
      </c>
      <c r="AB56" s="1">
        <v>1.5282176999999999</v>
      </c>
      <c r="AC56" s="1">
        <v>2.1626879999999997</v>
      </c>
      <c r="AD56" s="1">
        <v>0.52734028747642825</v>
      </c>
    </row>
    <row r="57" spans="1:30">
      <c r="A57" s="10"/>
      <c r="B57" s="11"/>
      <c r="C57" s="21" t="s">
        <v>353</v>
      </c>
      <c r="D57" s="22"/>
      <c r="E57" s="23"/>
      <c r="F57" s="21" t="s">
        <v>354</v>
      </c>
      <c r="G57" s="22"/>
      <c r="H57" s="23"/>
      <c r="W57" s="1" t="s">
        <v>6</v>
      </c>
      <c r="X57" s="1">
        <v>4.2000000000000003E-2</v>
      </c>
      <c r="Y57" s="1">
        <v>1.4449075</v>
      </c>
      <c r="Z57" s="1">
        <v>1.7039360000000001</v>
      </c>
      <c r="AA57" s="1">
        <v>0.36969654411760772</v>
      </c>
      <c r="AB57" s="1">
        <v>0.75850519999999999</v>
      </c>
      <c r="AC57" s="1">
        <v>0.85196800000000006</v>
      </c>
      <c r="AD57" s="1">
        <v>0.38047093923006475</v>
      </c>
    </row>
    <row r="58" spans="1:30">
      <c r="A58" s="10"/>
      <c r="B58" s="1" t="s">
        <v>386</v>
      </c>
      <c r="C58" s="1" t="s">
        <v>355</v>
      </c>
      <c r="D58" s="1" t="s">
        <v>387</v>
      </c>
      <c r="E58" s="1" t="s">
        <v>368</v>
      </c>
      <c r="F58" s="1" t="s">
        <v>355</v>
      </c>
      <c r="G58" s="1" t="s">
        <v>387</v>
      </c>
      <c r="H58" s="1" t="s">
        <v>368</v>
      </c>
      <c r="W58" s="1" t="s">
        <v>10</v>
      </c>
      <c r="X58" s="1">
        <v>0.79800000000000004</v>
      </c>
      <c r="Y58" s="1">
        <v>1.7307372999999999</v>
      </c>
      <c r="Z58" s="1">
        <v>2.4248319999999999</v>
      </c>
      <c r="AA58" s="1">
        <v>0.51390256970553705</v>
      </c>
      <c r="AB58" s="1">
        <v>1.1957177999999999</v>
      </c>
      <c r="AC58" s="1">
        <v>1.9660799999999998</v>
      </c>
      <c r="AD58" s="1">
        <v>0.33117483055607666</v>
      </c>
    </row>
    <row r="59" spans="1:30">
      <c r="A59" s="1" t="s">
        <v>5</v>
      </c>
      <c r="B59" s="1">
        <v>1777</v>
      </c>
      <c r="C59" s="4">
        <f>C27*1000</f>
        <v>56.794175799999998</v>
      </c>
      <c r="D59" s="4">
        <f t="shared" ref="D59:H59" si="7">D27*1000</f>
        <v>73.400320000000008</v>
      </c>
      <c r="E59" s="4">
        <f t="shared" si="7"/>
        <v>14.391909841543896</v>
      </c>
      <c r="F59" s="4">
        <f t="shared" si="7"/>
        <v>57.037039</v>
      </c>
      <c r="G59" s="4">
        <f t="shared" si="7"/>
        <v>77.594623999999996</v>
      </c>
      <c r="H59" s="4">
        <f t="shared" si="7"/>
        <v>13.716635982516992</v>
      </c>
      <c r="W59" s="1" t="s">
        <v>8</v>
      </c>
      <c r="X59" s="1">
        <v>2097</v>
      </c>
      <c r="Y59" s="1">
        <v>306.3528799</v>
      </c>
      <c r="Z59" s="1">
        <v>402.65318400000001</v>
      </c>
      <c r="AA59" s="1">
        <v>71.319472883962959</v>
      </c>
      <c r="AB59" s="1">
        <v>239.73228399999999</v>
      </c>
      <c r="AC59" s="1">
        <v>360.71014400000001</v>
      </c>
      <c r="AD59" s="1">
        <v>52.087046393003185</v>
      </c>
    </row>
    <row r="60" spans="1:30">
      <c r="A60" s="1" t="s">
        <v>7</v>
      </c>
      <c r="B60" s="1">
        <v>152</v>
      </c>
      <c r="C60" s="4">
        <f t="shared" ref="C60:H64" si="8">C28*1000</f>
        <v>2.6014217999999998</v>
      </c>
      <c r="D60" s="4">
        <f t="shared" si="8"/>
        <v>3.5389439999999999</v>
      </c>
      <c r="E60" s="4">
        <f t="shared" si="8"/>
        <v>0.66351049987595812</v>
      </c>
      <c r="F60" s="4">
        <f t="shared" si="8"/>
        <v>1.5282176999999999</v>
      </c>
      <c r="G60" s="4">
        <f t="shared" si="8"/>
        <v>2.1626879999999997</v>
      </c>
      <c r="H60" s="4">
        <f t="shared" si="8"/>
        <v>0.52734028747642825</v>
      </c>
      <c r="W60" s="1" t="s">
        <v>9</v>
      </c>
      <c r="X60" s="1">
        <v>250</v>
      </c>
      <c r="Y60" s="1">
        <v>5.0737391000000001</v>
      </c>
      <c r="Z60" s="1">
        <v>9.3061120000000006</v>
      </c>
      <c r="AA60" s="1">
        <v>1.2329612741153606</v>
      </c>
      <c r="AB60" s="1">
        <v>2.1310389999999999</v>
      </c>
      <c r="AC60" s="1">
        <v>2.555904</v>
      </c>
      <c r="AD60" s="1">
        <v>0.56298871888837709</v>
      </c>
    </row>
    <row r="61" spans="1:30">
      <c r="A61" s="1" t="s">
        <v>6</v>
      </c>
      <c r="B61" s="1">
        <v>4.2000000000000003E-2</v>
      </c>
      <c r="C61" s="4">
        <f t="shared" si="8"/>
        <v>1.4449075</v>
      </c>
      <c r="D61" s="4">
        <f t="shared" si="8"/>
        <v>1.7039360000000001</v>
      </c>
      <c r="E61" s="4">
        <f t="shared" si="8"/>
        <v>0.36969654411760772</v>
      </c>
      <c r="F61" s="4">
        <f t="shared" si="8"/>
        <v>0.75850519999999999</v>
      </c>
      <c r="G61" s="4">
        <f t="shared" si="8"/>
        <v>0.85196800000000006</v>
      </c>
      <c r="H61" s="4">
        <f t="shared" si="8"/>
        <v>0.38047093923006475</v>
      </c>
    </row>
    <row r="62" spans="1:30">
      <c r="A62" s="1" t="s">
        <v>10</v>
      </c>
      <c r="B62" s="1">
        <v>0.79800000000000004</v>
      </c>
      <c r="C62" s="4">
        <f t="shared" si="8"/>
        <v>1.7307372999999999</v>
      </c>
      <c r="D62" s="4">
        <f t="shared" si="8"/>
        <v>2.4248319999999999</v>
      </c>
      <c r="E62" s="4">
        <f t="shared" si="8"/>
        <v>0.51390256970553705</v>
      </c>
      <c r="F62" s="4">
        <f t="shared" si="8"/>
        <v>1.1957177999999999</v>
      </c>
      <c r="G62" s="4">
        <f t="shared" si="8"/>
        <v>1.9660799999999998</v>
      </c>
      <c r="H62" s="4">
        <f t="shared" si="8"/>
        <v>0.33117483055607666</v>
      </c>
    </row>
    <row r="63" spans="1:30">
      <c r="A63" s="1" t="s">
        <v>8</v>
      </c>
      <c r="B63" s="1">
        <v>2097</v>
      </c>
      <c r="C63" s="4">
        <f t="shared" si="8"/>
        <v>306.3528799</v>
      </c>
      <c r="D63" s="4">
        <f t="shared" si="8"/>
        <v>402.65318400000001</v>
      </c>
      <c r="E63" s="4">
        <f t="shared" si="8"/>
        <v>71.319472883962959</v>
      </c>
      <c r="F63" s="4">
        <f t="shared" si="8"/>
        <v>239.73228399999999</v>
      </c>
      <c r="G63" s="4">
        <f t="shared" si="8"/>
        <v>360.71014400000001</v>
      </c>
      <c r="H63" s="4">
        <f t="shared" si="8"/>
        <v>52.087046393003185</v>
      </c>
    </row>
    <row r="64" spans="1:30">
      <c r="A64" s="1" t="s">
        <v>9</v>
      </c>
      <c r="B64" s="1">
        <v>250</v>
      </c>
      <c r="C64" s="4">
        <f t="shared" si="8"/>
        <v>5.0737391000000001</v>
      </c>
      <c r="D64" s="4">
        <f t="shared" si="8"/>
        <v>9.3061120000000006</v>
      </c>
      <c r="E64" s="4">
        <f t="shared" si="8"/>
        <v>1.2329612741153606</v>
      </c>
      <c r="F64" s="4">
        <f t="shared" si="8"/>
        <v>2.1310389999999999</v>
      </c>
      <c r="G64" s="4">
        <f t="shared" si="8"/>
        <v>2.555904</v>
      </c>
      <c r="H64" s="4">
        <f t="shared" si="8"/>
        <v>0.56298871888837709</v>
      </c>
    </row>
  </sheetData>
  <mergeCells count="31">
    <mergeCell ref="X52:AD52"/>
    <mergeCell ref="Y53:AA53"/>
    <mergeCell ref="AB53:AD53"/>
    <mergeCell ref="X30:AD30"/>
    <mergeCell ref="Y31:AA31"/>
    <mergeCell ref="AB31:AD31"/>
    <mergeCell ref="X41:AD41"/>
    <mergeCell ref="Y42:AA42"/>
    <mergeCell ref="AB42:AD42"/>
    <mergeCell ref="C46:E46"/>
    <mergeCell ref="F46:H46"/>
    <mergeCell ref="B56:H56"/>
    <mergeCell ref="C57:E57"/>
    <mergeCell ref="F57:H57"/>
    <mergeCell ref="X2:AF2"/>
    <mergeCell ref="B2:H2"/>
    <mergeCell ref="B13:H13"/>
    <mergeCell ref="B24:H24"/>
    <mergeCell ref="C3:E3"/>
    <mergeCell ref="F3:H3"/>
    <mergeCell ref="C14:E14"/>
    <mergeCell ref="F14:H14"/>
    <mergeCell ref="J5:R5"/>
    <mergeCell ref="K6:N6"/>
    <mergeCell ref="O6:R6"/>
    <mergeCell ref="B34:H34"/>
    <mergeCell ref="C35:E35"/>
    <mergeCell ref="F35:H35"/>
    <mergeCell ref="B45:H45"/>
    <mergeCell ref="C25:E25"/>
    <mergeCell ref="F25:H2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8774C-7463-4C97-B79C-83CFF15E6EE6}">
  <dimension ref="A1"/>
  <sheetViews>
    <sheetView workbookViewId="0">
      <selection sqref="A1:H41"/>
    </sheetView>
  </sheetViews>
  <sheetFormatPr defaultRowHeight="15"/>
  <sheetData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2DBD-ABE6-49B7-89B3-BACCD30A9186}">
  <dimension ref="A1:AK7"/>
  <sheetViews>
    <sheetView topLeftCell="K1" workbookViewId="0">
      <selection activeCell="Y6" sqref="Y6"/>
    </sheetView>
  </sheetViews>
  <sheetFormatPr defaultRowHeight="15"/>
  <cols>
    <col min="1" max="1" width="17.42578125" bestFit="1" customWidth="1"/>
    <col min="3" max="3" width="10.7109375" bestFit="1" customWidth="1"/>
    <col min="5" max="5" width="10.7109375" bestFit="1" customWidth="1"/>
    <col min="7" max="7" width="10.7109375" bestFit="1" customWidth="1"/>
    <col min="9" max="9" width="10.7109375" bestFit="1" customWidth="1"/>
    <col min="11" max="11" width="10.7109375" bestFit="1" customWidth="1"/>
    <col min="13" max="13" width="10.7109375" bestFit="1" customWidth="1"/>
    <col min="15" max="15" width="10.7109375" bestFit="1" customWidth="1"/>
    <col min="17" max="17" width="10.7109375" bestFit="1" customWidth="1"/>
    <col min="19" max="19" width="10.7109375" bestFit="1" customWidth="1"/>
    <col min="21" max="21" width="12" bestFit="1" customWidth="1"/>
    <col min="23" max="23" width="10.7109375" bestFit="1" customWidth="1"/>
    <col min="25" max="25" width="10.7109375" bestFit="1" customWidth="1"/>
    <col min="27" max="27" width="10.7109375" bestFit="1" customWidth="1"/>
    <col min="29" max="29" width="10.7109375" bestFit="1" customWidth="1"/>
    <col min="31" max="31" width="10.7109375" bestFit="1" customWidth="1"/>
    <col min="33" max="33" width="10.7109375" bestFit="1" customWidth="1"/>
    <col min="35" max="35" width="10.7109375" bestFit="1" customWidth="1"/>
    <col min="37" max="37" width="10.7109375" bestFit="1" customWidth="1"/>
  </cols>
  <sheetData>
    <row r="1" spans="1:37">
      <c r="B1" s="24" t="s">
        <v>11</v>
      </c>
      <c r="C1" s="24"/>
      <c r="D1" s="24" t="s">
        <v>12</v>
      </c>
      <c r="E1" s="24"/>
      <c r="F1" s="24" t="s">
        <v>13</v>
      </c>
      <c r="G1" s="24"/>
      <c r="H1" s="24" t="s">
        <v>14</v>
      </c>
      <c r="I1" s="24"/>
      <c r="J1" s="24" t="s">
        <v>15</v>
      </c>
      <c r="K1" s="24"/>
      <c r="L1" s="24" t="s">
        <v>16</v>
      </c>
      <c r="M1" s="24"/>
      <c r="N1" s="24" t="s">
        <v>18</v>
      </c>
      <c r="O1" s="24"/>
      <c r="P1" s="24" t="s">
        <v>17</v>
      </c>
      <c r="Q1" s="24"/>
      <c r="R1" s="24" t="s">
        <v>19</v>
      </c>
      <c r="S1" s="24"/>
      <c r="T1" s="24" t="s">
        <v>20</v>
      </c>
      <c r="U1" s="24"/>
      <c r="V1" s="24" t="s">
        <v>21</v>
      </c>
      <c r="W1" s="24"/>
      <c r="X1" s="24" t="s">
        <v>22</v>
      </c>
      <c r="Y1" s="24"/>
      <c r="Z1" s="24" t="s">
        <v>23</v>
      </c>
      <c r="AA1" s="24"/>
      <c r="AB1" s="24" t="s">
        <v>24</v>
      </c>
      <c r="AC1" s="24"/>
      <c r="AD1" s="24" t="s">
        <v>25</v>
      </c>
      <c r="AE1" s="24"/>
      <c r="AF1" s="24" t="s">
        <v>26</v>
      </c>
      <c r="AG1" s="24"/>
      <c r="AH1" s="24" t="s">
        <v>27</v>
      </c>
      <c r="AI1" s="24"/>
      <c r="AJ1" s="24" t="s">
        <v>28</v>
      </c>
      <c r="AK1" s="24"/>
    </row>
    <row r="2" spans="1:37">
      <c r="B2" t="s">
        <v>30</v>
      </c>
      <c r="C2" t="s">
        <v>35</v>
      </c>
      <c r="D2" t="s">
        <v>30</v>
      </c>
      <c r="E2" t="s">
        <v>35</v>
      </c>
      <c r="F2" t="s">
        <v>30</v>
      </c>
      <c r="G2" t="s">
        <v>35</v>
      </c>
      <c r="H2" t="s">
        <v>30</v>
      </c>
      <c r="I2" t="s">
        <v>35</v>
      </c>
      <c r="J2" t="s">
        <v>30</v>
      </c>
      <c r="K2" t="s">
        <v>35</v>
      </c>
      <c r="L2" t="s">
        <v>30</v>
      </c>
      <c r="M2" t="s">
        <v>35</v>
      </c>
      <c r="N2" t="s">
        <v>30</v>
      </c>
      <c r="O2" t="s">
        <v>35</v>
      </c>
      <c r="P2" t="s">
        <v>30</v>
      </c>
      <c r="Q2" t="s">
        <v>35</v>
      </c>
      <c r="R2" t="s">
        <v>30</v>
      </c>
      <c r="S2" t="s">
        <v>35</v>
      </c>
      <c r="T2" t="s">
        <v>30</v>
      </c>
      <c r="U2" t="s">
        <v>35</v>
      </c>
      <c r="V2" t="s">
        <v>30</v>
      </c>
      <c r="W2" t="s">
        <v>35</v>
      </c>
      <c r="X2" t="s">
        <v>30</v>
      </c>
      <c r="Y2" t="s">
        <v>35</v>
      </c>
      <c r="Z2" t="s">
        <v>30</v>
      </c>
      <c r="AA2" t="s">
        <v>35</v>
      </c>
      <c r="AB2" t="s">
        <v>30</v>
      </c>
      <c r="AC2" t="s">
        <v>35</v>
      </c>
      <c r="AD2" t="s">
        <v>30</v>
      </c>
      <c r="AE2" t="s">
        <v>35</v>
      </c>
      <c r="AF2" t="s">
        <v>30</v>
      </c>
      <c r="AG2" t="s">
        <v>35</v>
      </c>
      <c r="AH2" t="s">
        <v>30</v>
      </c>
      <c r="AI2" t="s">
        <v>35</v>
      </c>
      <c r="AJ2" t="s">
        <v>30</v>
      </c>
      <c r="AK2" t="s">
        <v>35</v>
      </c>
    </row>
    <row r="3" spans="1:37">
      <c r="A3" t="s">
        <v>31</v>
      </c>
      <c r="B3" s="2">
        <v>56.794175799999998</v>
      </c>
      <c r="C3" s="2">
        <v>57.037039</v>
      </c>
      <c r="D3" s="2">
        <v>2.6014217999999998</v>
      </c>
      <c r="E3" s="2">
        <v>1.5282176999999999</v>
      </c>
      <c r="F3" s="2">
        <v>1.4449075</v>
      </c>
      <c r="G3" s="2">
        <v>0.75850519999999999</v>
      </c>
      <c r="H3" s="2">
        <v>1.7307372999999999</v>
      </c>
      <c r="I3" s="2">
        <v>1.1957177999999999</v>
      </c>
      <c r="J3" s="2">
        <v>306.3528799</v>
      </c>
      <c r="K3" s="2">
        <v>239.73228399999999</v>
      </c>
      <c r="L3" s="2">
        <v>5.0737391000000001</v>
      </c>
      <c r="M3" s="2">
        <v>2.1310389999999999</v>
      </c>
      <c r="N3" s="2">
        <v>23.455387500000001</v>
      </c>
      <c r="O3" s="2">
        <v>12.8253228</v>
      </c>
      <c r="P3" s="2">
        <v>10.080241600000001</v>
      </c>
      <c r="Q3" s="2">
        <v>1.2360583999999999</v>
      </c>
      <c r="R3" s="2">
        <v>7.1820325</v>
      </c>
      <c r="S3" s="2">
        <v>0.75507659999999999</v>
      </c>
      <c r="T3" s="2">
        <v>7.4321729000000003</v>
      </c>
      <c r="U3" s="2">
        <v>0.77583860000000004</v>
      </c>
      <c r="V3" s="2">
        <v>26.534139100000001</v>
      </c>
      <c r="W3" s="2">
        <v>22.558077699999998</v>
      </c>
      <c r="X3" s="2">
        <v>11.2356794</v>
      </c>
      <c r="Y3" s="2">
        <v>2.2397011999999998</v>
      </c>
      <c r="Z3" s="2">
        <v>86.678838299999995</v>
      </c>
      <c r="AA3" s="2">
        <v>181.0591623</v>
      </c>
      <c r="AB3" s="2">
        <v>14.422387799999999</v>
      </c>
      <c r="AC3" s="2">
        <v>18.0169237</v>
      </c>
      <c r="AD3" s="2">
        <v>3.8187666999999998</v>
      </c>
      <c r="AE3" s="2">
        <v>5.0531572000000002</v>
      </c>
      <c r="AF3" s="2">
        <v>4.0064055999999999</v>
      </c>
      <c r="AG3" s="2">
        <v>5.2824153000000003</v>
      </c>
      <c r="AH3" s="2">
        <v>89.935803199999995</v>
      </c>
      <c r="AI3" s="2">
        <v>161.79166860000001</v>
      </c>
      <c r="AJ3" s="2">
        <v>20.800048100000001</v>
      </c>
      <c r="AK3" s="2">
        <v>40.895725800000001</v>
      </c>
    </row>
    <row r="4" spans="1:37">
      <c r="A4" t="s">
        <v>32</v>
      </c>
      <c r="B4">
        <v>1000</v>
      </c>
      <c r="C4">
        <v>1000</v>
      </c>
      <c r="D4">
        <v>1000</v>
      </c>
      <c r="E4">
        <v>1000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</row>
    <row r="5" spans="1:37">
      <c r="A5" t="s">
        <v>34</v>
      </c>
      <c r="B5">
        <f t="shared" ref="B5:AK5" si="0">B3/B4</f>
        <v>5.6794175799999999E-2</v>
      </c>
      <c r="C5">
        <f t="shared" si="0"/>
        <v>5.7037038999999998E-2</v>
      </c>
      <c r="D5">
        <f t="shared" si="0"/>
        <v>2.6014217999999999E-3</v>
      </c>
      <c r="E5">
        <f t="shared" si="0"/>
        <v>1.5282176999999999E-3</v>
      </c>
      <c r="F5">
        <f t="shared" si="0"/>
        <v>1.4449075E-3</v>
      </c>
      <c r="G5">
        <f t="shared" si="0"/>
        <v>7.5850519999999999E-4</v>
      </c>
      <c r="H5">
        <f t="shared" si="0"/>
        <v>1.7307372999999999E-3</v>
      </c>
      <c r="I5">
        <f t="shared" si="0"/>
        <v>1.1957177999999998E-3</v>
      </c>
      <c r="J5">
        <f t="shared" si="0"/>
        <v>0.30635287989999999</v>
      </c>
      <c r="K5">
        <f t="shared" si="0"/>
        <v>0.23973228399999999</v>
      </c>
      <c r="L5">
        <f t="shared" si="0"/>
        <v>5.0737391000000003E-3</v>
      </c>
      <c r="M5">
        <f t="shared" si="0"/>
        <v>2.1310389999999999E-3</v>
      </c>
      <c r="N5">
        <f t="shared" si="0"/>
        <v>2.3455387500000001E-2</v>
      </c>
      <c r="O5">
        <f t="shared" si="0"/>
        <v>1.28253228E-2</v>
      </c>
      <c r="P5">
        <f t="shared" si="0"/>
        <v>1.0080241600000001E-2</v>
      </c>
      <c r="Q5">
        <f t="shared" si="0"/>
        <v>1.2360583999999999E-3</v>
      </c>
      <c r="R5">
        <f t="shared" si="0"/>
        <v>7.1820325000000003E-3</v>
      </c>
      <c r="S5">
        <f t="shared" si="0"/>
        <v>7.5507660000000002E-4</v>
      </c>
      <c r="T5">
        <f t="shared" si="0"/>
        <v>7.4321729000000007E-3</v>
      </c>
      <c r="U5">
        <f t="shared" si="0"/>
        <v>7.7583860000000004E-4</v>
      </c>
      <c r="V5">
        <f t="shared" si="0"/>
        <v>2.65341391E-2</v>
      </c>
      <c r="W5">
        <f t="shared" si="0"/>
        <v>2.2558077699999998E-2</v>
      </c>
      <c r="X5">
        <f t="shared" si="0"/>
        <v>1.12356794E-2</v>
      </c>
      <c r="Y5">
        <f t="shared" si="0"/>
        <v>2.2397011999999998E-3</v>
      </c>
      <c r="Z5">
        <f t="shared" si="0"/>
        <v>8.6678838299999991E-2</v>
      </c>
      <c r="AA5">
        <f t="shared" si="0"/>
        <v>0.18105916229999999</v>
      </c>
      <c r="AB5">
        <f t="shared" si="0"/>
        <v>1.4422387799999999E-2</v>
      </c>
      <c r="AC5">
        <f t="shared" si="0"/>
        <v>1.80169237E-2</v>
      </c>
      <c r="AD5">
        <f t="shared" si="0"/>
        <v>3.8187666999999997E-3</v>
      </c>
      <c r="AE5">
        <f t="shared" si="0"/>
        <v>5.0531572E-3</v>
      </c>
      <c r="AF5">
        <f t="shared" si="0"/>
        <v>4.0064055999999995E-3</v>
      </c>
      <c r="AG5">
        <f t="shared" si="0"/>
        <v>5.2824153E-3</v>
      </c>
      <c r="AH5">
        <f t="shared" si="0"/>
        <v>8.9935803199999997E-2</v>
      </c>
      <c r="AI5">
        <f t="shared" si="0"/>
        <v>0.16179166860000002</v>
      </c>
      <c r="AJ5">
        <f t="shared" si="0"/>
        <v>2.0800048100000003E-2</v>
      </c>
      <c r="AK5">
        <f t="shared" si="0"/>
        <v>4.0895725799999998E-2</v>
      </c>
    </row>
    <row r="6" spans="1:37">
      <c r="A6" t="s">
        <v>387</v>
      </c>
      <c r="B6" s="2">
        <v>7.3400320000000005E-2</v>
      </c>
      <c r="C6" s="2">
        <v>7.7594624000000001E-2</v>
      </c>
      <c r="D6" s="2">
        <v>3.538944E-3</v>
      </c>
      <c r="E6" s="2">
        <v>2.1626879999999999E-3</v>
      </c>
      <c r="F6" s="2">
        <v>1.7039360000000001E-3</v>
      </c>
      <c r="G6" s="3">
        <v>8.5196800000000004E-4</v>
      </c>
      <c r="H6" s="2">
        <v>2.424832E-3</v>
      </c>
      <c r="I6" s="2">
        <v>1.9660799999999998E-3</v>
      </c>
      <c r="J6" s="2">
        <v>0.402653184</v>
      </c>
      <c r="K6" s="2">
        <v>0.36071014400000001</v>
      </c>
      <c r="L6" s="2">
        <v>9.3061120000000001E-3</v>
      </c>
      <c r="M6" s="2">
        <v>2.5559039999999999E-3</v>
      </c>
      <c r="N6" s="2">
        <v>3.3030143999999997E-2</v>
      </c>
      <c r="O6" s="2">
        <v>1.9398656E-2</v>
      </c>
      <c r="P6" s="2">
        <v>1.1534335999999999E-2</v>
      </c>
      <c r="Q6" s="2">
        <v>1.212416E-3</v>
      </c>
      <c r="R6" s="2">
        <v>9.1750400000000006E-3</v>
      </c>
      <c r="S6" s="3">
        <v>9.5027200000000005E-4</v>
      </c>
      <c r="T6" s="2">
        <v>1.0747904000000001E-2</v>
      </c>
      <c r="U6" s="3">
        <v>9.8303999999999991E-4</v>
      </c>
      <c r="V6" s="2">
        <v>3.8797312E-2</v>
      </c>
      <c r="W6" s="2">
        <v>2.8311552E-2</v>
      </c>
      <c r="X6" s="2">
        <v>1.4680064E-2</v>
      </c>
      <c r="Y6" s="2">
        <v>3.2112640000000001E-3</v>
      </c>
      <c r="Z6" s="2">
        <v>0.13841203199999999</v>
      </c>
      <c r="AA6" s="2">
        <v>0.23488102399999999</v>
      </c>
      <c r="AB6" s="2">
        <v>1.7301503999999999E-2</v>
      </c>
      <c r="AC6" s="2">
        <v>2.3068671999999998E-2</v>
      </c>
      <c r="AD6">
        <v>5.1118079999999998E-3</v>
      </c>
      <c r="AE6" s="2">
        <v>6.5535999999999997E-3</v>
      </c>
      <c r="AF6" s="2">
        <v>5.3739520000000004E-3</v>
      </c>
      <c r="AG6" s="2">
        <v>6.8157440000000003E-3</v>
      </c>
      <c r="AH6" s="2">
        <v>0.113246208</v>
      </c>
      <c r="AI6" s="2">
        <v>0.201326592</v>
      </c>
      <c r="AJ6" s="2">
        <v>2.8311552E-2</v>
      </c>
      <c r="AK6" s="2">
        <v>5.8720255999999998E-2</v>
      </c>
    </row>
    <row r="7" spans="1:37">
      <c r="A7" t="s">
        <v>33</v>
      </c>
      <c r="B7">
        <f>Sheet3!F251</f>
        <v>1.4391909841543897E-2</v>
      </c>
      <c r="C7">
        <f>Sheet3!F219</f>
        <v>1.3716635982516993E-2</v>
      </c>
      <c r="D7">
        <f>Sheet3!F42</f>
        <v>6.6351049987595809E-4</v>
      </c>
      <c r="E7">
        <f>Sheet3!F125</f>
        <v>5.2734028747642824E-4</v>
      </c>
      <c r="F7">
        <f>Sheet3!F116</f>
        <v>3.6969654411760772E-4</v>
      </c>
      <c r="G7">
        <f>Sheet3!F23</f>
        <v>3.8047093923006476E-4</v>
      </c>
      <c r="H7">
        <f>Sheet3!F339</f>
        <v>5.1390256970553709E-4</v>
      </c>
      <c r="I7">
        <f>Sheet3!F13</f>
        <v>3.3117483055607666E-4</v>
      </c>
      <c r="J7">
        <f>Sheet3!F180</f>
        <v>7.1319472883962953E-2</v>
      </c>
      <c r="K7">
        <f>Sheet3!F317</f>
        <v>5.2087046393003184E-2</v>
      </c>
      <c r="L7">
        <f>Sheet3!F188</f>
        <v>1.2329612741153607E-3</v>
      </c>
      <c r="M7">
        <f>Sheet3!F94</f>
        <v>5.6298871888837705E-4</v>
      </c>
      <c r="N7">
        <f>Sheet3!F77</f>
        <v>1.4858936450003364E-2</v>
      </c>
      <c r="O7">
        <f>Sheet3!F351</f>
        <v>6.7422494027126034E-3</v>
      </c>
      <c r="P7">
        <f>Sheet3!F229</f>
        <v>2.5470666618809205E-3</v>
      </c>
      <c r="Q7">
        <f>Sheet3!F54</f>
        <v>1.4380315758067686E-3</v>
      </c>
      <c r="R7">
        <f>Sheet3!F261</f>
        <v>1.5117339461444594E-3</v>
      </c>
      <c r="S7">
        <f>Sheet3!F378</f>
        <v>2.9411899497316452E-4</v>
      </c>
      <c r="T7">
        <f>Sheet3!F147</f>
        <v>1.5719820500081554E-3</v>
      </c>
      <c r="U7">
        <f>Sheet3!F213</f>
        <v>2.6143285841934556E-4</v>
      </c>
      <c r="V7">
        <f>Sheet3!F2</f>
        <v>5.8083741580628647E-3</v>
      </c>
      <c r="W7">
        <f>Sheet3!F294</f>
        <v>6.7625490161826824E-3</v>
      </c>
      <c r="X7">
        <f>Sheet3!F202</f>
        <v>2.3978330741894838E-3</v>
      </c>
      <c r="Y7">
        <f>Sheet3!F168</f>
        <v>1.0374632980614347E-3</v>
      </c>
      <c r="Z7">
        <f>Sheet3!F67</f>
        <v>2.6030018891855876E-2</v>
      </c>
      <c r="AA7">
        <f>Sheet3!F157</f>
        <v>4.6811658558229358E-2</v>
      </c>
      <c r="AB7">
        <f>Sheet3!F327</f>
        <v>4.3575475678301829E-3</v>
      </c>
      <c r="AC7">
        <f>Sheet3!F137</f>
        <v>5.2368389172195388E-3</v>
      </c>
      <c r="AD7">
        <f>Sheet3!F32</f>
        <v>9.5077399536885735E-4</v>
      </c>
      <c r="AE7">
        <f>Sheet3!F369</f>
        <v>1.1390764835473434E-3</v>
      </c>
      <c r="AF7">
        <f>Sheet3!F385</f>
        <v>1.7694809911845053E-3</v>
      </c>
      <c r="AG7">
        <f>Sheet3!F272</f>
        <v>1.8396456078077408E-3</v>
      </c>
      <c r="AH7">
        <f>Sheet3!F241</f>
        <v>2.0087193554670625E-2</v>
      </c>
      <c r="AI7">
        <f>Sheet3!F305</f>
        <v>3.4671739875920086E-2</v>
      </c>
      <c r="AJ7">
        <f>Sheet3!F106</f>
        <v>4.9598017390906374E-3</v>
      </c>
      <c r="AK7">
        <f>Sheet3!F284</f>
        <v>8.7871921853844362E-3</v>
      </c>
    </row>
  </sheetData>
  <mergeCells count="18">
    <mergeCell ref="B1:C1"/>
    <mergeCell ref="D1:E1"/>
    <mergeCell ref="F1:G1"/>
    <mergeCell ref="H1:I1"/>
    <mergeCell ref="J1:K1"/>
    <mergeCell ref="AJ1:AK1"/>
    <mergeCell ref="P1:Q1"/>
    <mergeCell ref="R1:S1"/>
    <mergeCell ref="T1:U1"/>
    <mergeCell ref="L1:M1"/>
    <mergeCell ref="V1:W1"/>
    <mergeCell ref="X1:Y1"/>
    <mergeCell ref="N1:O1"/>
    <mergeCell ref="Z1:AA1"/>
    <mergeCell ref="AB1:AC1"/>
    <mergeCell ref="AD1:AE1"/>
    <mergeCell ref="AF1:AG1"/>
    <mergeCell ref="AH1:AI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F934-4E2E-4248-B2E1-B5696F3B9F25}">
  <dimension ref="A1:J396"/>
  <sheetViews>
    <sheetView topLeftCell="A43" workbookViewId="0">
      <selection activeCell="C64" sqref="C64"/>
    </sheetView>
  </sheetViews>
  <sheetFormatPr defaultRowHeight="15"/>
  <cols>
    <col min="1" max="1" width="61.28515625" bestFit="1" customWidth="1"/>
    <col min="3" max="3" width="12" bestFit="1" customWidth="1"/>
    <col min="4" max="5" width="14.28515625" customWidth="1"/>
  </cols>
  <sheetData>
    <row r="1" spans="1:6">
      <c r="A1" s="2" t="s">
        <v>37</v>
      </c>
      <c r="B1">
        <v>4</v>
      </c>
      <c r="C1">
        <v>2.2369620999999999E-2</v>
      </c>
      <c r="D1">
        <f t="shared" ref="D1:D10" si="0">ABS(C$12-C1)*ABS(C$12-C1)</f>
        <v>1.7343211005227613E-5</v>
      </c>
      <c r="E1">
        <f t="shared" ref="E1:E10" si="1">D1*B1</f>
        <v>6.9372844020910453E-5</v>
      </c>
      <c r="F1" t="s">
        <v>47</v>
      </c>
    </row>
    <row r="2" spans="1:6">
      <c r="A2" s="2" t="s">
        <v>38</v>
      </c>
      <c r="B2">
        <f>779-4</f>
        <v>775</v>
      </c>
      <c r="C2">
        <v>2.7962026000000001E-2</v>
      </c>
      <c r="D2">
        <f t="shared" si="0"/>
        <v>2.0388609991916138E-6</v>
      </c>
      <c r="E2">
        <f t="shared" si="1"/>
        <v>1.5801172743735007E-3</v>
      </c>
      <c r="F2">
        <f>SQRT(SUM(E1:E10)/1000)</f>
        <v>5.8083741580628647E-3</v>
      </c>
    </row>
    <row r="3" spans="1:6">
      <c r="A3" s="2" t="s">
        <v>39</v>
      </c>
      <c r="B3">
        <f>938-779</f>
        <v>159</v>
      </c>
      <c r="C3">
        <v>3.3554431000000003E-2</v>
      </c>
      <c r="D3">
        <f t="shared" si="0"/>
        <v>4.9284498361205654E-5</v>
      </c>
      <c r="E3">
        <f t="shared" si="1"/>
        <v>7.8362352394316988E-3</v>
      </c>
    </row>
    <row r="4" spans="1:6">
      <c r="A4" s="2" t="s">
        <v>40</v>
      </c>
      <c r="B4">
        <f>979-938</f>
        <v>41</v>
      </c>
      <c r="C4">
        <v>3.9146835999999997E-2</v>
      </c>
      <c r="D4">
        <f t="shared" si="0"/>
        <v>1.5908012309126955E-4</v>
      </c>
      <c r="E4">
        <f t="shared" si="1"/>
        <v>6.5222850467420513E-3</v>
      </c>
    </row>
    <row r="5" spans="1:6">
      <c r="A5" s="2" t="s">
        <v>41</v>
      </c>
      <c r="B5">
        <v>11</v>
      </c>
      <c r="C5">
        <v>4.4739240999999999E-2</v>
      </c>
      <c r="D5">
        <f t="shared" si="0"/>
        <v>3.3142573518938359E-4</v>
      </c>
      <c r="E5">
        <f t="shared" si="1"/>
        <v>3.6456830870832194E-3</v>
      </c>
    </row>
    <row r="6" spans="1:6">
      <c r="A6" s="2" t="s">
        <v>42</v>
      </c>
      <c r="B6">
        <v>1</v>
      </c>
      <c r="C6">
        <v>5.0331646000000001E-2</v>
      </c>
      <c r="D6">
        <f t="shared" si="0"/>
        <v>5.6632133465554769E-4</v>
      </c>
      <c r="E6">
        <f t="shared" si="1"/>
        <v>5.6632133465554769E-4</v>
      </c>
    </row>
    <row r="7" spans="1:6">
      <c r="A7" s="2" t="s">
        <v>43</v>
      </c>
      <c r="B7">
        <v>3</v>
      </c>
      <c r="C7">
        <v>5.5924051000000002E-2</v>
      </c>
      <c r="D7">
        <f t="shared" si="0"/>
        <v>8.6376692148976174E-4</v>
      </c>
      <c r="E7">
        <f t="shared" si="1"/>
        <v>2.5913007644692851E-3</v>
      </c>
    </row>
    <row r="8" spans="1:6">
      <c r="A8" s="2" t="s">
        <v>44</v>
      </c>
      <c r="B8">
        <v>3</v>
      </c>
      <c r="C8">
        <v>6.1516455999999997E-2</v>
      </c>
      <c r="D8">
        <f t="shared" si="0"/>
        <v>1.2237624956920254E-3</v>
      </c>
      <c r="E8">
        <f t="shared" si="1"/>
        <v>3.6712874870760762E-3</v>
      </c>
    </row>
    <row r="9" spans="1:6">
      <c r="A9" s="2" t="s">
        <v>45</v>
      </c>
      <c r="B9">
        <v>2</v>
      </c>
      <c r="C9">
        <v>6.7108864000000004E-2</v>
      </c>
      <c r="D9">
        <f t="shared" si="0"/>
        <v>1.6463083007106803E-3</v>
      </c>
      <c r="E9">
        <f t="shared" si="1"/>
        <v>3.2926166014213606E-3</v>
      </c>
    </row>
    <row r="10" spans="1:6">
      <c r="A10" s="2" t="s">
        <v>46</v>
      </c>
      <c r="B10">
        <v>1</v>
      </c>
      <c r="C10">
        <v>8.9478484999999996E-2</v>
      </c>
      <c r="D10">
        <f t="shared" si="0"/>
        <v>3.9619906807788477E-3</v>
      </c>
      <c r="E10">
        <f t="shared" si="1"/>
        <v>3.9619906807788477E-3</v>
      </c>
    </row>
    <row r="11" spans="1:6">
      <c r="A11" s="2"/>
    </row>
    <row r="12" spans="1:6">
      <c r="B12" t="s">
        <v>48</v>
      </c>
      <c r="C12">
        <f>Sheet2!V5</f>
        <v>2.65341391E-2</v>
      </c>
    </row>
    <row r="13" spans="1:6">
      <c r="A13" t="s">
        <v>49</v>
      </c>
      <c r="B13">
        <v>111</v>
      </c>
      <c r="C13">
        <v>1E-3</v>
      </c>
      <c r="D13">
        <f t="shared" ref="D13:D20" si="2">ABS(C$21-C13)*ABS(C$21-C13)</f>
        <v>3.8305457236839929E-8</v>
      </c>
      <c r="E13">
        <f t="shared" ref="E13:E20" si="3">D13*B13</f>
        <v>4.251905753289232E-6</v>
      </c>
      <c r="F13">
        <f>SQRT(SUM(E13:E20)/1000)</f>
        <v>3.3117483055607666E-4</v>
      </c>
    </row>
    <row r="14" spans="1:6">
      <c r="A14" t="s">
        <v>50</v>
      </c>
      <c r="B14">
        <f>373-111</f>
        <v>262</v>
      </c>
      <c r="C14">
        <v>1.0485760000000001E-3</v>
      </c>
      <c r="D14">
        <f t="shared" si="2"/>
        <v>2.1650709307239936E-8</v>
      </c>
      <c r="E14">
        <f t="shared" si="3"/>
        <v>5.6724858384968636E-6</v>
      </c>
    </row>
    <row r="15" spans="1:6">
      <c r="A15" t="s">
        <v>51</v>
      </c>
      <c r="B15">
        <f>866-373</f>
        <v>493</v>
      </c>
      <c r="C15">
        <v>1.3981009999999999E-3</v>
      </c>
      <c r="D15">
        <f t="shared" si="2"/>
        <v>4.0958959642240021E-8</v>
      </c>
      <c r="E15">
        <f t="shared" si="3"/>
        <v>2.0192767103624331E-5</v>
      </c>
    </row>
    <row r="16" spans="1:6">
      <c r="A16" t="s">
        <v>52</v>
      </c>
      <c r="B16">
        <f>951-866</f>
        <v>85</v>
      </c>
      <c r="C16">
        <v>1.747626E-3</v>
      </c>
      <c r="D16">
        <f t="shared" si="2"/>
        <v>3.0460266122724013E-7</v>
      </c>
      <c r="E16">
        <f t="shared" si="3"/>
        <v>2.5891226204315411E-5</v>
      </c>
    </row>
    <row r="17" spans="1:6">
      <c r="A17" t="s">
        <v>53</v>
      </c>
      <c r="B17">
        <v>35</v>
      </c>
      <c r="C17">
        <v>2.0971509999999998E-3</v>
      </c>
      <c r="D17">
        <f t="shared" si="2"/>
        <v>8.1258181406223993E-7</v>
      </c>
      <c r="E17">
        <f t="shared" si="3"/>
        <v>2.8440363492178399E-5</v>
      </c>
    </row>
    <row r="18" spans="1:6">
      <c r="A18" t="s">
        <v>54</v>
      </c>
      <c r="B18">
        <v>10</v>
      </c>
      <c r="C18">
        <v>2.4466760000000001E-3</v>
      </c>
      <c r="D18">
        <f t="shared" si="2"/>
        <v>1.5648964181472406E-6</v>
      </c>
      <c r="E18">
        <f t="shared" si="3"/>
        <v>1.5648964181472405E-5</v>
      </c>
    </row>
    <row r="19" spans="1:6">
      <c r="A19" t="s">
        <v>55</v>
      </c>
      <c r="B19">
        <v>1</v>
      </c>
      <c r="C19">
        <v>2.7962009999999999E-3</v>
      </c>
      <c r="D19">
        <f t="shared" si="2"/>
        <v>2.5615464734822403E-6</v>
      </c>
      <c r="E19">
        <f t="shared" si="3"/>
        <v>2.5615464734822403E-6</v>
      </c>
    </row>
    <row r="20" spans="1:6">
      <c r="A20" t="s">
        <v>56</v>
      </c>
      <c r="B20">
        <v>1</v>
      </c>
      <c r="C20">
        <v>3.8447759999999998E-3</v>
      </c>
      <c r="D20">
        <f t="shared" si="2"/>
        <v>7.0175093469872414E-6</v>
      </c>
      <c r="E20">
        <f t="shared" si="3"/>
        <v>7.0175093469872414E-6</v>
      </c>
    </row>
    <row r="21" spans="1:6">
      <c r="C21">
        <f>Sheet2!I5</f>
        <v>1.1957177999999998E-3</v>
      </c>
    </row>
    <row r="23" spans="1:6">
      <c r="A23" t="s">
        <v>57</v>
      </c>
      <c r="B23">
        <v>930</v>
      </c>
      <c r="C23">
        <v>1E-3</v>
      </c>
      <c r="D23">
        <f t="shared" ref="D23:D29" si="4">ABS(C$30-C23)*ABS(C$30-C23)</f>
        <v>5.8319738427040016E-8</v>
      </c>
      <c r="E23">
        <f t="shared" ref="E23:E29" si="5">D23*B23</f>
        <v>5.4237356737147217E-5</v>
      </c>
      <c r="F23">
        <f>SQRT(SUM(E23:E30)/1000)</f>
        <v>3.8047093923006476E-4</v>
      </c>
    </row>
    <row r="24" spans="1:6">
      <c r="A24" t="s">
        <v>58</v>
      </c>
      <c r="B24">
        <v>16</v>
      </c>
      <c r="C24">
        <v>1.0485760000000001E-3</v>
      </c>
      <c r="D24">
        <f t="shared" si="4"/>
        <v>8.4141069012640045E-8</v>
      </c>
      <c r="E24">
        <f t="shared" si="5"/>
        <v>1.3462571042022407E-6</v>
      </c>
    </row>
    <row r="25" spans="1:6">
      <c r="A25" t="s">
        <v>59</v>
      </c>
      <c r="B25">
        <f>994-946</f>
        <v>48</v>
      </c>
      <c r="C25">
        <v>1.3981009999999999E-3</v>
      </c>
      <c r="D25">
        <f t="shared" si="4"/>
        <v>4.090827873776399E-7</v>
      </c>
      <c r="E25">
        <f t="shared" si="5"/>
        <v>1.9635973794126716E-5</v>
      </c>
    </row>
    <row r="26" spans="1:6">
      <c r="A26" t="s">
        <v>60</v>
      </c>
      <c r="B26">
        <v>3</v>
      </c>
      <c r="C26">
        <v>2.0971509999999998E-3</v>
      </c>
      <c r="D26">
        <f t="shared" si="4"/>
        <v>1.7919725778576392E-6</v>
      </c>
      <c r="E26">
        <f t="shared" si="5"/>
        <v>5.3759177335729173E-6</v>
      </c>
    </row>
    <row r="27" spans="1:6">
      <c r="A27" t="s">
        <v>61</v>
      </c>
      <c r="B27">
        <v>1</v>
      </c>
      <c r="C27">
        <v>2.0971509999999998E-3</v>
      </c>
      <c r="D27">
        <f t="shared" si="4"/>
        <v>1.7919725778576392E-6</v>
      </c>
      <c r="E27">
        <f t="shared" si="5"/>
        <v>1.7919725778576392E-6</v>
      </c>
    </row>
    <row r="28" spans="1:6">
      <c r="A28" t="s">
        <v>62</v>
      </c>
      <c r="B28">
        <v>1</v>
      </c>
      <c r="C28">
        <v>2.7962009999999999E-3</v>
      </c>
      <c r="D28">
        <f t="shared" si="4"/>
        <v>4.1522041733376388E-6</v>
      </c>
      <c r="E28">
        <f t="shared" si="5"/>
        <v>4.1522041733376388E-6</v>
      </c>
    </row>
    <row r="29" spans="1:6">
      <c r="A29" t="s">
        <v>63</v>
      </c>
      <c r="B29">
        <v>1</v>
      </c>
      <c r="C29">
        <v>8.3886069999999993E-3</v>
      </c>
      <c r="D29">
        <f t="shared" si="4"/>
        <v>5.8218453478363236E-5</v>
      </c>
      <c r="E29">
        <f t="shared" si="5"/>
        <v>5.8218453478363236E-5</v>
      </c>
    </row>
    <row r="30" spans="1:6">
      <c r="C30">
        <f>Sheet2!G5</f>
        <v>7.5850519999999999E-4</v>
      </c>
    </row>
    <row r="32" spans="1:6">
      <c r="A32" t="s">
        <v>64</v>
      </c>
      <c r="B32">
        <v>403</v>
      </c>
      <c r="C32">
        <v>3.495251E-3</v>
      </c>
      <c r="D32">
        <f>ABS(C$40-C32)*ABS(C$40-C32)</f>
        <v>1.0466240814648982E-7</v>
      </c>
      <c r="E32">
        <f>D32*B32</f>
        <v>4.2178950483035399E-5</v>
      </c>
      <c r="F32">
        <f>SQRT(SUM(E32:E39)/1000)</f>
        <v>9.5077399536885735E-4</v>
      </c>
    </row>
    <row r="33" spans="1:6">
      <c r="A33" t="s">
        <v>65</v>
      </c>
      <c r="B33">
        <v>242</v>
      </c>
      <c r="C33">
        <v>3.8447759999999998E-3</v>
      </c>
      <c r="D33">
        <f t="shared" ref="D33:D39" si="6">ABS(C$40-C33)*ABS(C$40-C33)</f>
        <v>6.7648368649000613E-10</v>
      </c>
      <c r="E33">
        <f t="shared" ref="E33:E39" si="7">D33*B33</f>
        <v>1.6370905213058149E-7</v>
      </c>
    </row>
    <row r="34" spans="1:6">
      <c r="A34" t="s">
        <v>66</v>
      </c>
      <c r="B34">
        <f>803-645</f>
        <v>158</v>
      </c>
      <c r="C34">
        <v>4.1943040000000003E-3</v>
      </c>
      <c r="D34">
        <f t="shared" si="6"/>
        <v>1.4102826369129041E-7</v>
      </c>
      <c r="E34">
        <f t="shared" si="7"/>
        <v>2.2282465663223884E-5</v>
      </c>
    </row>
    <row r="35" spans="1:6">
      <c r="A35" t="s">
        <v>67</v>
      </c>
      <c r="B35">
        <f>980-803</f>
        <v>177</v>
      </c>
      <c r="C35">
        <v>5.5924049999999999E-3</v>
      </c>
      <c r="D35">
        <f t="shared" si="6"/>
        <v>3.1457928192268908E-6</v>
      </c>
      <c r="E35">
        <f t="shared" si="7"/>
        <v>5.5680532900315963E-4</v>
      </c>
    </row>
    <row r="36" spans="1:6">
      <c r="A36" t="s">
        <v>68</v>
      </c>
      <c r="B36">
        <v>15</v>
      </c>
      <c r="C36">
        <v>6.9905059999999996E-3</v>
      </c>
      <c r="D36">
        <f t="shared" si="6"/>
        <v>1.005993018716449E-5</v>
      </c>
      <c r="E36">
        <f t="shared" si="7"/>
        <v>1.5089895280746734E-4</v>
      </c>
    </row>
    <row r="37" spans="1:6">
      <c r="A37" t="s">
        <v>69</v>
      </c>
      <c r="B37">
        <v>2</v>
      </c>
      <c r="C37">
        <v>8.3886069999999993E-3</v>
      </c>
      <c r="D37">
        <f t="shared" si="6"/>
        <v>2.0883440367504082E-5</v>
      </c>
      <c r="E37">
        <f t="shared" si="7"/>
        <v>4.1766880735008165E-5</v>
      </c>
    </row>
    <row r="38" spans="1:6">
      <c r="A38" t="s">
        <v>70</v>
      </c>
      <c r="B38">
        <v>1</v>
      </c>
      <c r="C38">
        <v>9.7867079999999999E-3</v>
      </c>
      <c r="D38">
        <f t="shared" si="6"/>
        <v>3.5616323360245683E-5</v>
      </c>
      <c r="E38">
        <f t="shared" si="7"/>
        <v>3.5616323360245683E-5</v>
      </c>
    </row>
    <row r="39" spans="1:6">
      <c r="A39" t="s">
        <v>71</v>
      </c>
      <c r="B39">
        <v>1</v>
      </c>
      <c r="C39">
        <v>1.1184809E-2</v>
      </c>
      <c r="D39">
        <f t="shared" si="6"/>
        <v>5.4258579165389294E-5</v>
      </c>
      <c r="E39">
        <f t="shared" si="7"/>
        <v>5.4258579165389294E-5</v>
      </c>
    </row>
    <row r="40" spans="1:6">
      <c r="C40">
        <f>Sheet2!AD5</f>
        <v>3.8187666999999997E-3</v>
      </c>
    </row>
    <row r="42" spans="1:6">
      <c r="A42" t="s">
        <v>72</v>
      </c>
      <c r="B42">
        <v>1</v>
      </c>
      <c r="C42">
        <v>2.0971509999999998E-3</v>
      </c>
      <c r="D42">
        <f>ABS(C$52-C42)*ABS(C$52-C42)</f>
        <v>2.5428903973264008E-7</v>
      </c>
      <c r="E42">
        <f>D42*B42</f>
        <v>2.5428903973264008E-7</v>
      </c>
      <c r="F42">
        <f>SQRT(SUM(E42:E51)/1000)</f>
        <v>6.6351049987595809E-4</v>
      </c>
    </row>
    <row r="43" spans="1:6">
      <c r="A43" t="s">
        <v>73</v>
      </c>
      <c r="B43">
        <v>496</v>
      </c>
      <c r="C43">
        <v>2.4466760000000001E-3</v>
      </c>
      <c r="D43">
        <f t="shared" ref="D43:D51" si="8">ABS(C$52-C43)*ABS(C$52-C43)</f>
        <v>2.394626261763994E-8</v>
      </c>
      <c r="E43">
        <f t="shared" ref="E43:E51" si="9">D43*B43</f>
        <v>1.1877346258349411E-5</v>
      </c>
    </row>
    <row r="44" spans="1:6">
      <c r="A44" t="s">
        <v>74</v>
      </c>
      <c r="B44">
        <f>815-497</f>
        <v>318</v>
      </c>
      <c r="C44">
        <v>2.7962009999999999E-3</v>
      </c>
      <c r="D44">
        <f t="shared" si="8"/>
        <v>3.7938936752640012E-8</v>
      </c>
      <c r="E44">
        <f t="shared" si="9"/>
        <v>1.2064581887339524E-5</v>
      </c>
    </row>
    <row r="45" spans="1:6">
      <c r="A45" t="s">
        <v>75</v>
      </c>
      <c r="B45">
        <f>917-815</f>
        <v>102</v>
      </c>
      <c r="C45">
        <v>3.1457260000000002E-3</v>
      </c>
      <c r="D45">
        <f t="shared" si="8"/>
        <v>2.9626706213764034E-7</v>
      </c>
      <c r="E45">
        <f t="shared" si="9"/>
        <v>3.0219240338039316E-5</v>
      </c>
    </row>
    <row r="46" spans="1:6">
      <c r="A46" t="s">
        <v>76</v>
      </c>
      <c r="B46">
        <f>953-917</f>
        <v>36</v>
      </c>
      <c r="C46">
        <v>3.8447659999999999E-3</v>
      </c>
      <c r="D46">
        <f t="shared" si="8"/>
        <v>1.54590479967364E-6</v>
      </c>
      <c r="E46">
        <f t="shared" si="9"/>
        <v>5.5652572788251042E-5</v>
      </c>
    </row>
    <row r="47" spans="1:6">
      <c r="A47" t="s">
        <v>77</v>
      </c>
      <c r="B47">
        <f>976-953</f>
        <v>23</v>
      </c>
      <c r="C47">
        <v>3.8447759999999998E-3</v>
      </c>
      <c r="D47">
        <f t="shared" si="8"/>
        <v>1.5459296666576399E-6</v>
      </c>
      <c r="E47">
        <f t="shared" si="9"/>
        <v>3.555638233312572E-5</v>
      </c>
    </row>
    <row r="48" spans="1:6">
      <c r="A48" t="s">
        <v>78</v>
      </c>
      <c r="B48">
        <v>13</v>
      </c>
      <c r="C48">
        <v>4.1943040000000003E-3</v>
      </c>
      <c r="D48">
        <f t="shared" si="8"/>
        <v>2.5372737030768414E-6</v>
      </c>
      <c r="E48">
        <f t="shared" si="9"/>
        <v>3.2984558139998935E-5</v>
      </c>
    </row>
    <row r="49" spans="1:10">
      <c r="A49" t="s">
        <v>79</v>
      </c>
      <c r="B49">
        <v>9</v>
      </c>
      <c r="C49">
        <v>5.5924049999999999E-3</v>
      </c>
      <c r="D49">
        <f t="shared" si="8"/>
        <v>8.9459805026822403E-6</v>
      </c>
      <c r="E49">
        <f t="shared" si="9"/>
        <v>8.051382452414016E-5</v>
      </c>
    </row>
    <row r="50" spans="1:10">
      <c r="A50" t="s">
        <v>80</v>
      </c>
      <c r="B50">
        <v>1</v>
      </c>
      <c r="C50">
        <v>9.7867079999999999E-3</v>
      </c>
      <c r="D50">
        <f t="shared" si="8"/>
        <v>5.162833777591044E-5</v>
      </c>
      <c r="E50">
        <f t="shared" si="9"/>
        <v>5.162833777591044E-5</v>
      </c>
    </row>
    <row r="51" spans="1:10">
      <c r="A51" t="s">
        <v>81</v>
      </c>
      <c r="B51">
        <v>1</v>
      </c>
      <c r="C51">
        <v>1.3981011E-2</v>
      </c>
      <c r="D51">
        <f t="shared" si="8"/>
        <v>1.2949505036075664E-4</v>
      </c>
      <c r="E51">
        <f t="shared" si="9"/>
        <v>1.2949505036075664E-4</v>
      </c>
    </row>
    <row r="52" spans="1:10">
      <c r="C52">
        <f>Sheet2!D5</f>
        <v>2.6014217999999999E-3</v>
      </c>
    </row>
    <row r="54" spans="1:10">
      <c r="A54" s="2" t="s">
        <v>389</v>
      </c>
      <c r="B54">
        <v>270</v>
      </c>
      <c r="C54">
        <v>1E-3</v>
      </c>
      <c r="D54">
        <f>ABS(C$65-C54)*ABS(C$65-C54)</f>
        <v>5.5723568210559928E-8</v>
      </c>
      <c r="E54">
        <f t="shared" ref="E54:E64" si="10">D54*B54</f>
        <v>1.504536341685118E-5</v>
      </c>
      <c r="F54">
        <f>SQRT(SUM(E54:E64)/1000)</f>
        <v>1.4380315758067686E-3</v>
      </c>
    </row>
    <row r="55" spans="1:10">
      <c r="A55" s="2" t="s">
        <v>390</v>
      </c>
      <c r="B55">
        <f>391-270</f>
        <v>121</v>
      </c>
      <c r="C55">
        <v>1.0485760000000001E-3</v>
      </c>
      <c r="D55">
        <f t="shared" ref="D55:D59" si="11">ABS(C$65-C55)*ABS(C$65-C55)</f>
        <v>3.5149650309759924E-8</v>
      </c>
      <c r="E55">
        <f t="shared" ref="E55:E59" si="12">D55*B55</f>
        <v>4.2531076874809508E-6</v>
      </c>
      <c r="J55" s="2"/>
    </row>
    <row r="56" spans="1:10">
      <c r="A56" s="2" t="s">
        <v>391</v>
      </c>
      <c r="B56">
        <f>818-391</f>
        <v>427</v>
      </c>
      <c r="C56">
        <v>1.3981009999999999E-3</v>
      </c>
      <c r="D56">
        <f t="shared" si="11"/>
        <v>2.6257804214760012E-8</v>
      </c>
      <c r="E56">
        <f t="shared" si="12"/>
        <v>1.1212082399702525E-5</v>
      </c>
      <c r="J56" s="2"/>
    </row>
    <row r="57" spans="1:10">
      <c r="A57" s="2" t="s">
        <v>392</v>
      </c>
      <c r="B57">
        <f>963-818</f>
        <v>145</v>
      </c>
      <c r="C57">
        <v>1.747626E-3</v>
      </c>
      <c r="D57">
        <f t="shared" si="11"/>
        <v>2.6170140936976011E-7</v>
      </c>
      <c r="E57">
        <f t="shared" si="12"/>
        <v>3.7946704358615215E-5</v>
      </c>
      <c r="J57" s="2"/>
    </row>
    <row r="58" spans="1:10">
      <c r="A58" s="2" t="s">
        <v>393</v>
      </c>
      <c r="B58">
        <f>988-963</f>
        <v>25</v>
      </c>
      <c r="C58">
        <v>2.0971509999999998E-3</v>
      </c>
      <c r="D58">
        <f t="shared" si="11"/>
        <v>7.4148046577475985E-7</v>
      </c>
      <c r="E58">
        <f t="shared" si="12"/>
        <v>1.8537011644368997E-5</v>
      </c>
      <c r="J58" s="2"/>
    </row>
    <row r="59" spans="1:10">
      <c r="A59" s="2" t="s">
        <v>394</v>
      </c>
      <c r="B59">
        <v>5</v>
      </c>
      <c r="C59">
        <v>2.4466760000000001E-3</v>
      </c>
      <c r="D59">
        <f t="shared" si="11"/>
        <v>1.4655949734297605E-6</v>
      </c>
      <c r="E59">
        <f t="shared" si="12"/>
        <v>7.3279748671488021E-6</v>
      </c>
    </row>
    <row r="60" spans="1:10">
      <c r="A60" s="2" t="s">
        <v>395</v>
      </c>
      <c r="B60">
        <v>3</v>
      </c>
      <c r="C60">
        <v>2.7962009999999999E-3</v>
      </c>
      <c r="D60">
        <f t="shared" ref="D60:D64" si="13">ABS(C$65-C60)*ABS(C$65-C60)</f>
        <v>2.43404493233476E-6</v>
      </c>
      <c r="E60">
        <f t="shared" si="10"/>
        <v>7.3021347970042799E-6</v>
      </c>
    </row>
    <row r="61" spans="1:10">
      <c r="A61" s="2" t="s">
        <v>396</v>
      </c>
      <c r="B61">
        <v>1</v>
      </c>
      <c r="C61">
        <v>3.1457260000000002E-3</v>
      </c>
      <c r="D61">
        <f t="shared" si="13"/>
        <v>3.6468303424897609E-6</v>
      </c>
      <c r="E61">
        <f t="shared" si="10"/>
        <v>3.6468303424897609E-6</v>
      </c>
    </row>
    <row r="62" spans="1:10">
      <c r="A62" s="2" t="s">
        <v>397</v>
      </c>
      <c r="B62">
        <v>1</v>
      </c>
      <c r="C62">
        <v>5.5924049999999999E-3</v>
      </c>
      <c r="D62">
        <f t="shared" si="13"/>
        <v>1.897775569933156E-5</v>
      </c>
      <c r="E62">
        <f t="shared" si="10"/>
        <v>1.897775569933156E-5</v>
      </c>
    </row>
    <row r="63" spans="1:10">
      <c r="A63" s="2" t="s">
        <v>398</v>
      </c>
      <c r="B63">
        <v>1</v>
      </c>
      <c r="C63">
        <v>8.3886069999999993E-3</v>
      </c>
      <c r="D63">
        <f t="shared" si="13"/>
        <v>5.1158951475361946E-5</v>
      </c>
      <c r="E63">
        <f t="shared" si="10"/>
        <v>5.1158951475361946E-5</v>
      </c>
    </row>
    <row r="64" spans="1:10">
      <c r="A64" s="2" t="s">
        <v>399</v>
      </c>
      <c r="B64">
        <v>1</v>
      </c>
      <c r="C64">
        <v>4.4739240999999999E-2</v>
      </c>
      <c r="D64">
        <f t="shared" si="13"/>
        <v>1.892526896328943E-3</v>
      </c>
      <c r="E64">
        <f t="shared" si="10"/>
        <v>1.892526896328943E-3</v>
      </c>
    </row>
    <row r="65" spans="1:10">
      <c r="C65">
        <f>Sheet2!Q5</f>
        <v>1.2360583999999999E-3</v>
      </c>
    </row>
    <row r="67" spans="1:10">
      <c r="A67" t="s">
        <v>82</v>
      </c>
      <c r="B67">
        <v>105</v>
      </c>
      <c r="C67">
        <v>6.7108864000000004E-2</v>
      </c>
      <c r="D67">
        <f>ABS(C$75-C67)*ABS(C$75-C67)</f>
        <v>3.8298389410266001E-4</v>
      </c>
      <c r="E67">
        <f t="shared" ref="E67:E74" si="14">D67*B67</f>
        <v>4.02133088807793E-2</v>
      </c>
      <c r="F67">
        <f>SQRT(SUM(E67:E74)/1000)</f>
        <v>2.6030018891855876E-2</v>
      </c>
    </row>
    <row r="68" spans="1:10">
      <c r="A68" t="s">
        <v>83</v>
      </c>
      <c r="B68">
        <f>688-105</f>
        <v>583</v>
      </c>
      <c r="C68">
        <v>8.9478484999999996E-2</v>
      </c>
      <c r="D68">
        <f t="shared" ref="D68:D74" si="15">ABS(C$75-C68)*ABS(C$75-C68)</f>
        <v>7.8380216448209201E-6</v>
      </c>
      <c r="E68">
        <f t="shared" si="14"/>
        <v>4.5695666189305966E-3</v>
      </c>
    </row>
    <row r="69" spans="1:10">
      <c r="A69" t="s">
        <v>84</v>
      </c>
      <c r="B69">
        <f>861-688</f>
        <v>173</v>
      </c>
      <c r="C69">
        <v>0.111848106</v>
      </c>
      <c r="D69">
        <f t="shared" si="15"/>
        <v>6.3349203655426389E-4</v>
      </c>
      <c r="E69">
        <f t="shared" si="14"/>
        <v>0.10959412232388765</v>
      </c>
    </row>
    <row r="70" spans="1:10">
      <c r="A70" t="s">
        <v>85</v>
      </c>
      <c r="B70">
        <f>957-861</f>
        <v>96</v>
      </c>
      <c r="C70">
        <v>0.13421772700000001</v>
      </c>
      <c r="D70">
        <f t="shared" si="15"/>
        <v>2.2599459388309893E-3</v>
      </c>
      <c r="E70">
        <f t="shared" si="14"/>
        <v>0.21695481012777496</v>
      </c>
      <c r="J70" s="2"/>
    </row>
    <row r="71" spans="1:10">
      <c r="A71" t="s">
        <v>86</v>
      </c>
      <c r="B71">
        <f>982-957</f>
        <v>25</v>
      </c>
      <c r="C71">
        <v>0.15658734799999999</v>
      </c>
      <c r="D71">
        <f t="shared" si="15"/>
        <v>4.8871997284749939E-3</v>
      </c>
      <c r="E71">
        <f t="shared" si="14"/>
        <v>0.12217999321187485</v>
      </c>
      <c r="J71" s="2"/>
    </row>
    <row r="72" spans="1:10">
      <c r="A72" t="s">
        <v>87</v>
      </c>
      <c r="B72">
        <f>996-982</f>
        <v>14</v>
      </c>
      <c r="C72">
        <v>0.17895696899999999</v>
      </c>
      <c r="D72">
        <f t="shared" si="15"/>
        <v>8.5152534054862821E-3</v>
      </c>
      <c r="E72">
        <f t="shared" si="14"/>
        <v>0.11921354767680795</v>
      </c>
      <c r="J72" s="2"/>
    </row>
    <row r="73" spans="1:10">
      <c r="A73" t="s">
        <v>88</v>
      </c>
      <c r="B73">
        <v>3</v>
      </c>
      <c r="C73">
        <v>0.20132659</v>
      </c>
      <c r="D73">
        <f t="shared" si="15"/>
        <v>1.3144106969864854E-2</v>
      </c>
      <c r="E73">
        <f t="shared" si="14"/>
        <v>3.9432320909594559E-2</v>
      </c>
      <c r="J73" s="2"/>
    </row>
    <row r="74" spans="1:10">
      <c r="A74" t="s">
        <v>89</v>
      </c>
      <c r="B74">
        <v>1</v>
      </c>
      <c r="C74">
        <v>0.24606583200000001</v>
      </c>
      <c r="D74">
        <f t="shared" si="15"/>
        <v>2.540421376072385E-2</v>
      </c>
      <c r="E74">
        <f t="shared" si="14"/>
        <v>2.540421376072385E-2</v>
      </c>
      <c r="J74" s="2"/>
    </row>
    <row r="75" spans="1:10">
      <c r="C75">
        <f>Sheet2!Z5</f>
        <v>8.6678838299999991E-2</v>
      </c>
      <c r="J75" s="2"/>
    </row>
    <row r="76" spans="1:10">
      <c r="J76" s="2"/>
    </row>
    <row r="77" spans="1:10">
      <c r="A77" t="s">
        <v>90</v>
      </c>
      <c r="B77">
        <v>1</v>
      </c>
      <c r="C77">
        <v>1.3981011E-2</v>
      </c>
      <c r="D77">
        <f>ABS(C$92-C77)*ABS(C$92-C77)</f>
        <v>8.976381006375227E-5</v>
      </c>
      <c r="E77">
        <f t="shared" ref="E77:E91" si="16">D77*B77</f>
        <v>8.976381006375227E-5</v>
      </c>
      <c r="F77">
        <f>SQRT(SUM(E77:E91)/1000)</f>
        <v>1.4858936450003364E-2</v>
      </c>
    </row>
    <row r="78" spans="1:10">
      <c r="A78" t="s">
        <v>91</v>
      </c>
      <c r="B78">
        <v>79</v>
      </c>
      <c r="C78">
        <v>1.5379112E-2</v>
      </c>
      <c r="D78">
        <f t="shared" ref="D78:D91" si="17">ABS(C$92-C78)*ABS(C$92-C78)</f>
        <v>6.5226225951900258E-5</v>
      </c>
      <c r="E78">
        <f t="shared" si="16"/>
        <v>5.1528718502001202E-3</v>
      </c>
    </row>
    <row r="79" spans="1:10">
      <c r="A79" t="s">
        <v>92</v>
      </c>
      <c r="B79">
        <v>209</v>
      </c>
      <c r="C79">
        <v>1.6777216000000001E-2</v>
      </c>
      <c r="D79">
        <f t="shared" si="17"/>
        <v>4.459797458341225E-5</v>
      </c>
      <c r="E79">
        <f t="shared" si="16"/>
        <v>9.32097668793316E-3</v>
      </c>
    </row>
    <row r="80" spans="1:10">
      <c r="A80" t="s">
        <v>93</v>
      </c>
      <c r="B80">
        <f>698-289</f>
        <v>409</v>
      </c>
      <c r="C80">
        <v>2.2369620999999999E-2</v>
      </c>
      <c r="D80">
        <f t="shared" si="17"/>
        <v>1.1788888925222536E-6</v>
      </c>
      <c r="E80">
        <f t="shared" si="16"/>
        <v>4.821655570416017E-4</v>
      </c>
    </row>
    <row r="81" spans="1:6">
      <c r="A81" t="s">
        <v>94</v>
      </c>
      <c r="B81">
        <f>843-698</f>
        <v>145</v>
      </c>
      <c r="C81">
        <v>2.7962026000000001E-2</v>
      </c>
      <c r="D81">
        <f t="shared" si="17"/>
        <v>2.030979056968225E-5</v>
      </c>
      <c r="E81">
        <f t="shared" si="16"/>
        <v>2.9449196326039261E-3</v>
      </c>
    </row>
    <row r="82" spans="1:6">
      <c r="A82" t="s">
        <v>95</v>
      </c>
      <c r="B82">
        <f>887-843</f>
        <v>44</v>
      </c>
      <c r="C82">
        <v>3.3554431000000003E-2</v>
      </c>
      <c r="D82">
        <f t="shared" si="17"/>
        <v>1.0199067961489228E-4</v>
      </c>
      <c r="E82">
        <f t="shared" si="16"/>
        <v>4.4875899030552601E-3</v>
      </c>
    </row>
    <row r="83" spans="1:6">
      <c r="A83" t="s">
        <v>96</v>
      </c>
      <c r="B83">
        <v>16</v>
      </c>
      <c r="C83">
        <v>3.9146835999999997E-2</v>
      </c>
      <c r="D83">
        <f t="shared" si="17"/>
        <v>2.4622155602815215E-4</v>
      </c>
      <c r="E83">
        <f t="shared" si="16"/>
        <v>3.9395448964504344E-3</v>
      </c>
    </row>
    <row r="84" spans="1:6">
      <c r="A84" t="s">
        <v>97</v>
      </c>
      <c r="B84">
        <v>14</v>
      </c>
      <c r="C84">
        <v>4.4739240999999999E-2</v>
      </c>
      <c r="D84">
        <f t="shared" si="17"/>
        <v>4.5300241980946219E-4</v>
      </c>
      <c r="E84">
        <f t="shared" si="16"/>
        <v>6.342033877332471E-3</v>
      </c>
    </row>
    <row r="85" spans="1:6">
      <c r="A85" t="s">
        <v>98</v>
      </c>
      <c r="B85">
        <v>21</v>
      </c>
      <c r="C85">
        <v>5.0331646000000001E-2</v>
      </c>
      <c r="D85">
        <f t="shared" si="17"/>
        <v>7.2233327095882224E-4</v>
      </c>
      <c r="E85">
        <f t="shared" si="16"/>
        <v>1.5168998690135268E-2</v>
      </c>
    </row>
    <row r="86" spans="1:6">
      <c r="A86" t="s">
        <v>99</v>
      </c>
      <c r="B86">
        <v>9</v>
      </c>
      <c r="C86">
        <v>5.5924051000000002E-2</v>
      </c>
      <c r="D86">
        <f t="shared" si="17"/>
        <v>1.0542141094762323E-3</v>
      </c>
      <c r="E86">
        <f t="shared" si="16"/>
        <v>9.4879269852860895E-3</v>
      </c>
    </row>
    <row r="87" spans="1:6">
      <c r="A87" t="s">
        <v>100</v>
      </c>
      <c r="B87">
        <v>19</v>
      </c>
      <c r="C87">
        <v>6.1516455999999997E-2</v>
      </c>
      <c r="D87">
        <f t="shared" si="17"/>
        <v>1.448644935361692E-3</v>
      </c>
      <c r="E87">
        <f t="shared" si="16"/>
        <v>2.7524253771872148E-2</v>
      </c>
    </row>
    <row r="88" spans="1:6">
      <c r="A88" t="s">
        <v>101</v>
      </c>
      <c r="B88">
        <v>15</v>
      </c>
      <c r="C88">
        <v>6.7108864000000004E-2</v>
      </c>
      <c r="D88">
        <f t="shared" si="17"/>
        <v>1.9056260105360526E-3</v>
      </c>
      <c r="E88">
        <f t="shared" si="16"/>
        <v>2.858439015804079E-2</v>
      </c>
    </row>
    <row r="89" spans="1:6">
      <c r="A89" t="s">
        <v>102</v>
      </c>
      <c r="B89">
        <v>20</v>
      </c>
      <c r="C89">
        <v>8.9478484999999996E-2</v>
      </c>
      <c r="D89">
        <f t="shared" si="17"/>
        <v>4.3590494034945046E-3</v>
      </c>
      <c r="E89">
        <f t="shared" si="16"/>
        <v>8.7180988069890095E-2</v>
      </c>
    </row>
    <row r="90" spans="1:6">
      <c r="A90" t="s">
        <v>103</v>
      </c>
      <c r="B90">
        <v>1</v>
      </c>
      <c r="C90">
        <v>0.111848106</v>
      </c>
      <c r="D90">
        <f t="shared" si="17"/>
        <v>7.8132726838202413E-3</v>
      </c>
      <c r="E90">
        <f t="shared" si="16"/>
        <v>7.8132726838202413E-3</v>
      </c>
    </row>
    <row r="91" spans="1:6">
      <c r="A91" t="s">
        <v>104</v>
      </c>
      <c r="B91">
        <v>1</v>
      </c>
      <c r="C91">
        <v>0.13421772700000001</v>
      </c>
      <c r="D91">
        <f t="shared" si="17"/>
        <v>1.2268295851513261E-2</v>
      </c>
      <c r="E91">
        <f t="shared" si="16"/>
        <v>1.2268295851513261E-2</v>
      </c>
    </row>
    <row r="92" spans="1:6">
      <c r="C92">
        <f>Sheet2!N5</f>
        <v>2.3455387500000001E-2</v>
      </c>
    </row>
    <row r="94" spans="1:6">
      <c r="A94" t="s">
        <v>105</v>
      </c>
      <c r="B94">
        <v>1</v>
      </c>
      <c r="C94">
        <v>1.747626E-3</v>
      </c>
      <c r="D94">
        <f>ABS(C$104-C94)*ABS(C$104-C94)</f>
        <v>1.4700552856899999E-7</v>
      </c>
      <c r="E94">
        <f t="shared" ref="E94:E103" si="18">D94*B94</f>
        <v>1.4700552856899999E-7</v>
      </c>
      <c r="F94">
        <f>SQRT(SUM(E94:E103)/1000)</f>
        <v>5.6298871888837705E-4</v>
      </c>
    </row>
    <row r="95" spans="1:6">
      <c r="A95" t="s">
        <v>106</v>
      </c>
      <c r="B95">
        <v>695</v>
      </c>
      <c r="C95">
        <v>2.0971509999999998E-3</v>
      </c>
      <c r="D95">
        <f t="shared" ref="D95:D103" si="19">ABS(C$104-C95)*ABS(C$104-C95)</f>
        <v>1.1483965440000099E-9</v>
      </c>
      <c r="E95">
        <f t="shared" si="18"/>
        <v>7.9813559808000691E-7</v>
      </c>
    </row>
    <row r="96" spans="1:6">
      <c r="A96" t="s">
        <v>107</v>
      </c>
      <c r="B96">
        <f>895-696</f>
        <v>199</v>
      </c>
      <c r="C96">
        <v>2.4466760000000001E-3</v>
      </c>
      <c r="D96">
        <f t="shared" si="19"/>
        <v>9.9626715769000071E-8</v>
      </c>
      <c r="E96">
        <f t="shared" si="18"/>
        <v>1.9825716438031013E-5</v>
      </c>
    </row>
    <row r="97" spans="1:6">
      <c r="A97" t="s">
        <v>108</v>
      </c>
      <c r="B97">
        <f>936-895</f>
        <v>41</v>
      </c>
      <c r="C97">
        <v>2.7962009999999999E-3</v>
      </c>
      <c r="D97">
        <f t="shared" si="19"/>
        <v>4.4244048624399996E-7</v>
      </c>
      <c r="E97">
        <f t="shared" si="18"/>
        <v>1.8140059936003998E-5</v>
      </c>
    </row>
    <row r="98" spans="1:6">
      <c r="A98" t="s">
        <v>109</v>
      </c>
      <c r="B98">
        <f>952-936</f>
        <v>16</v>
      </c>
      <c r="C98">
        <v>3.1457260000000002E-3</v>
      </c>
      <c r="D98">
        <f t="shared" si="19"/>
        <v>1.0295897079690005E-6</v>
      </c>
      <c r="E98">
        <f t="shared" si="18"/>
        <v>1.6473435327504008E-5</v>
      </c>
    </row>
    <row r="99" spans="1:6">
      <c r="A99" t="s">
        <v>110</v>
      </c>
      <c r="B99">
        <f>964-952</f>
        <v>12</v>
      </c>
      <c r="C99">
        <v>3.495251E-3</v>
      </c>
      <c r="D99">
        <f t="shared" si="19"/>
        <v>1.8610743809440001E-6</v>
      </c>
      <c r="E99">
        <f t="shared" si="18"/>
        <v>2.2332892571328001E-5</v>
      </c>
    </row>
    <row r="100" spans="1:6">
      <c r="A100" t="s">
        <v>111</v>
      </c>
      <c r="B100">
        <f>975-964</f>
        <v>11</v>
      </c>
      <c r="C100">
        <v>3.8447759999999998E-3</v>
      </c>
      <c r="D100">
        <f t="shared" si="19"/>
        <v>2.9368945051689997E-6</v>
      </c>
      <c r="E100">
        <f t="shared" si="18"/>
        <v>3.2305839556858994E-5</v>
      </c>
    </row>
    <row r="101" spans="1:6">
      <c r="A101" t="s">
        <v>112</v>
      </c>
      <c r="B101">
        <v>15</v>
      </c>
      <c r="C101">
        <v>4.1943040000000003E-3</v>
      </c>
      <c r="D101">
        <f t="shared" si="19"/>
        <v>4.2570624602250017E-6</v>
      </c>
      <c r="E101">
        <f t="shared" si="18"/>
        <v>6.3855936903375022E-5</v>
      </c>
    </row>
    <row r="102" spans="1:6">
      <c r="A102" t="s">
        <v>113</v>
      </c>
      <c r="B102">
        <v>8</v>
      </c>
      <c r="C102">
        <v>5.5924049999999999E-3</v>
      </c>
      <c r="D102">
        <f t="shared" si="19"/>
        <v>1.1981054585956001E-5</v>
      </c>
      <c r="E102">
        <f t="shared" si="18"/>
        <v>9.5848436687648005E-5</v>
      </c>
    </row>
    <row r="103" spans="1:6">
      <c r="A103" t="s">
        <v>114</v>
      </c>
      <c r="B103">
        <v>2</v>
      </c>
      <c r="C103">
        <v>6.9905059999999996E-3</v>
      </c>
      <c r="D103">
        <f t="shared" si="19"/>
        <v>2.3614419524088992E-5</v>
      </c>
      <c r="E103">
        <f t="shared" si="18"/>
        <v>4.7228839048177985E-5</v>
      </c>
    </row>
    <row r="104" spans="1:6">
      <c r="C104">
        <f>Sheet2!M5</f>
        <v>2.1310389999999999E-3</v>
      </c>
    </row>
    <row r="106" spans="1:6">
      <c r="A106" t="s">
        <v>115</v>
      </c>
      <c r="B106">
        <v>839</v>
      </c>
      <c r="C106">
        <v>2.2369620999999999E-2</v>
      </c>
      <c r="D106">
        <f t="shared" ref="D106:D113" si="20">ABS(C$114-C106)*ABS(C$114-C106)</f>
        <v>2.4635590884143988E-6</v>
      </c>
      <c r="E106">
        <f t="shared" ref="E106:E113" si="21">D106*B106</f>
        <v>2.0669260751796808E-3</v>
      </c>
      <c r="F106">
        <f>SQRT(SUM(E106:E113)/1000)</f>
        <v>4.9598017390906374E-3</v>
      </c>
    </row>
    <row r="107" spans="1:6">
      <c r="A107" t="s">
        <v>116</v>
      </c>
      <c r="B107">
        <f>963-839</f>
        <v>124</v>
      </c>
      <c r="C107">
        <v>2.7962026000000001E-2</v>
      </c>
      <c r="D107">
        <f t="shared" si="20"/>
        <v>5.1293927440088383E-5</v>
      </c>
      <c r="E107">
        <f t="shared" si="21"/>
        <v>6.360447002570959E-3</v>
      </c>
    </row>
    <row r="108" spans="1:6">
      <c r="A108" t="s">
        <v>117</v>
      </c>
      <c r="B108">
        <f>986-963</f>
        <v>23</v>
      </c>
      <c r="C108">
        <v>3.3554431000000003E-2</v>
      </c>
      <c r="D108">
        <f t="shared" si="20"/>
        <v>1.6267428315981241E-4</v>
      </c>
      <c r="E108">
        <f t="shared" si="21"/>
        <v>3.7415085126756855E-3</v>
      </c>
    </row>
    <row r="109" spans="1:6">
      <c r="A109" t="s">
        <v>118</v>
      </c>
      <c r="B109">
        <v>6</v>
      </c>
      <c r="C109">
        <v>3.9146835999999997E-2</v>
      </c>
      <c r="D109">
        <f t="shared" si="20"/>
        <v>3.3660462624758618E-4</v>
      </c>
      <c r="E109">
        <f t="shared" si="21"/>
        <v>2.019627757485517E-3</v>
      </c>
    </row>
    <row r="110" spans="1:6">
      <c r="A110" t="s">
        <v>119</v>
      </c>
      <c r="B110">
        <v>4</v>
      </c>
      <c r="C110">
        <v>4.4739240999999999E-2</v>
      </c>
      <c r="D110">
        <f t="shared" si="20"/>
        <v>5.7308495670341025E-4</v>
      </c>
      <c r="E110">
        <f t="shared" si="21"/>
        <v>2.292339826813641E-3</v>
      </c>
    </row>
    <row r="111" spans="1:6">
      <c r="A111" t="s">
        <v>120</v>
      </c>
      <c r="B111">
        <v>2</v>
      </c>
      <c r="C111">
        <v>5.0331646000000001E-2</v>
      </c>
      <c r="D111">
        <f t="shared" si="20"/>
        <v>8.7211527452728428E-4</v>
      </c>
      <c r="E111">
        <f t="shared" si="21"/>
        <v>1.7442305490545686E-3</v>
      </c>
    </row>
    <row r="112" spans="1:6">
      <c r="A112" t="s">
        <v>121</v>
      </c>
      <c r="B112">
        <v>1</v>
      </c>
      <c r="C112">
        <v>6.1516455999999997E-2</v>
      </c>
      <c r="D112">
        <f t="shared" si="20"/>
        <v>1.657825872279182E-3</v>
      </c>
      <c r="E112">
        <f t="shared" si="21"/>
        <v>1.657825872279182E-3</v>
      </c>
    </row>
    <row r="113" spans="1:6">
      <c r="A113" t="s">
        <v>122</v>
      </c>
      <c r="B113">
        <v>1</v>
      </c>
      <c r="C113">
        <v>8.9478484999999996E-2</v>
      </c>
      <c r="D113">
        <f t="shared" si="20"/>
        <v>4.7167276950272818E-3</v>
      </c>
      <c r="E113">
        <f t="shared" si="21"/>
        <v>4.7167276950272818E-3</v>
      </c>
    </row>
    <row r="114" spans="1:6">
      <c r="C114">
        <f>Sheet2!AJ5</f>
        <v>2.0800048100000003E-2</v>
      </c>
    </row>
    <row r="116" spans="1:6">
      <c r="A116" t="s">
        <v>123</v>
      </c>
      <c r="B116">
        <v>598</v>
      </c>
      <c r="C116">
        <v>1.3981009999999999E-3</v>
      </c>
      <c r="D116">
        <f>ABS(C$123-C116)*ABS(C$123-C116)</f>
        <v>2.1908484422500097E-9</v>
      </c>
      <c r="E116">
        <f t="shared" ref="E116:E122" si="22">D116*B116</f>
        <v>1.3101273684655057E-6</v>
      </c>
      <c r="F116">
        <f>SQRT(SUM(E116:E122)/1000)</f>
        <v>3.6969654411760772E-4</v>
      </c>
    </row>
    <row r="117" spans="1:6">
      <c r="A117" t="s">
        <v>124</v>
      </c>
      <c r="B117">
        <f>900-598</f>
        <v>302</v>
      </c>
      <c r="C117">
        <v>1.747626E-3</v>
      </c>
      <c r="D117">
        <f t="shared" ref="D117:D122" si="23">ABS(C$123-C117)*ABS(C$123-C117)</f>
        <v>9.1638490242249974E-8</v>
      </c>
      <c r="E117">
        <f t="shared" si="22"/>
        <v>2.7674824053159493E-5</v>
      </c>
    </row>
    <row r="118" spans="1:6">
      <c r="A118" t="s">
        <v>125</v>
      </c>
      <c r="B118">
        <v>56</v>
      </c>
      <c r="C118">
        <v>2.0971509999999998E-3</v>
      </c>
      <c r="D118">
        <f t="shared" si="23"/>
        <v>4.2542158329224975E-7</v>
      </c>
      <c r="E118">
        <f t="shared" si="22"/>
        <v>2.3823608664365984E-5</v>
      </c>
    </row>
    <row r="119" spans="1:6">
      <c r="A119" t="s">
        <v>126</v>
      </c>
      <c r="B119">
        <v>36</v>
      </c>
      <c r="C119">
        <v>2.4466760000000001E-3</v>
      </c>
      <c r="D119">
        <f t="shared" si="23"/>
        <v>1.0035401275922501E-6</v>
      </c>
      <c r="E119">
        <f t="shared" si="22"/>
        <v>3.6127444593321002E-5</v>
      </c>
    </row>
    <row r="120" spans="1:6">
      <c r="A120" t="s">
        <v>127</v>
      </c>
      <c r="B120">
        <v>7</v>
      </c>
      <c r="C120">
        <v>2.7962009999999999E-3</v>
      </c>
      <c r="D120">
        <f t="shared" si="23"/>
        <v>1.8259941231422498E-6</v>
      </c>
      <c r="E120">
        <f t="shared" si="22"/>
        <v>1.2781958861995749E-5</v>
      </c>
    </row>
    <row r="121" spans="1:6">
      <c r="A121" t="s">
        <v>128</v>
      </c>
      <c r="B121">
        <v>1</v>
      </c>
      <c r="C121">
        <v>3.495251E-3</v>
      </c>
      <c r="D121">
        <f t="shared" si="23"/>
        <v>4.2039084679922508E-6</v>
      </c>
      <c r="E121">
        <f t="shared" si="22"/>
        <v>4.2039084679922508E-6</v>
      </c>
    </row>
    <row r="122" spans="1:6">
      <c r="A122" t="s">
        <v>129</v>
      </c>
      <c r="B122">
        <v>1</v>
      </c>
      <c r="C122">
        <v>6.9905059999999996E-3</v>
      </c>
      <c r="D122">
        <f t="shared" si="23"/>
        <v>3.0753662723202246E-5</v>
      </c>
      <c r="E122">
        <f t="shared" si="22"/>
        <v>3.0753662723202246E-5</v>
      </c>
    </row>
    <row r="123" spans="1:6">
      <c r="C123">
        <f>Sheet2!F5</f>
        <v>1.4449075E-3</v>
      </c>
    </row>
    <row r="125" spans="1:6">
      <c r="A125" t="s">
        <v>130</v>
      </c>
      <c r="B125">
        <v>431</v>
      </c>
      <c r="C125">
        <v>1.3981009999999999E-3</v>
      </c>
      <c r="D125">
        <f t="shared" ref="D125:D134" si="24">ABS(C$135-C125)*ABS(C$135-C125)</f>
        <v>1.6930355618890007E-8</v>
      </c>
      <c r="E125">
        <f t="shared" ref="E125" si="25">D125*B125</f>
        <v>7.2969832717415932E-6</v>
      </c>
      <c r="F125">
        <f>SQRT(SUM(E125:E134)/1000)</f>
        <v>5.2734028747642824E-4</v>
      </c>
    </row>
    <row r="126" spans="1:6">
      <c r="A126" t="s">
        <v>131</v>
      </c>
      <c r="B126">
        <f>876-431</f>
        <v>445</v>
      </c>
      <c r="C126">
        <v>1.747626E-3</v>
      </c>
      <c r="D126">
        <f t="shared" si="24"/>
        <v>4.8140002108890016E-8</v>
      </c>
      <c r="E126">
        <f t="shared" ref="E126:E134" si="26">D126*B126</f>
        <v>2.1422300938456056E-5</v>
      </c>
    </row>
    <row r="127" spans="1:6">
      <c r="A127" t="s">
        <v>132</v>
      </c>
      <c r="B127">
        <f>954-876</f>
        <v>78</v>
      </c>
      <c r="C127">
        <v>2.0971509999999998E-3</v>
      </c>
      <c r="D127">
        <f t="shared" si="24"/>
        <v>3.2368509984888987E-7</v>
      </c>
      <c r="E127">
        <f t="shared" si="26"/>
        <v>2.524743778821341E-5</v>
      </c>
    </row>
    <row r="128" spans="1:6">
      <c r="A128" t="s">
        <v>133</v>
      </c>
      <c r="B128">
        <f>982-954</f>
        <v>28</v>
      </c>
      <c r="C128">
        <v>2.4466760000000001E-3</v>
      </c>
      <c r="D128">
        <f t="shared" si="24"/>
        <v>8.4356564883889028E-7</v>
      </c>
      <c r="E128">
        <f t="shared" si="26"/>
        <v>2.3619838167488928E-5</v>
      </c>
    </row>
    <row r="129" spans="1:6">
      <c r="A129" t="s">
        <v>134</v>
      </c>
      <c r="B129">
        <f>990-982</f>
        <v>8</v>
      </c>
      <c r="C129">
        <v>2.7962009999999999E-3</v>
      </c>
      <c r="D129">
        <f t="shared" si="24"/>
        <v>1.60778164907889E-6</v>
      </c>
      <c r="E129">
        <f t="shared" si="26"/>
        <v>1.286225319263112E-5</v>
      </c>
    </row>
    <row r="130" spans="1:6">
      <c r="A130" t="s">
        <v>135</v>
      </c>
      <c r="B130">
        <v>5</v>
      </c>
      <c r="C130">
        <v>3.1457260000000002E-3</v>
      </c>
      <c r="D130">
        <f t="shared" si="24"/>
        <v>2.6163331005688907E-6</v>
      </c>
      <c r="E130">
        <f t="shared" si="26"/>
        <v>1.3081665502844453E-5</v>
      </c>
    </row>
    <row r="131" spans="1:6">
      <c r="A131" t="s">
        <v>136</v>
      </c>
      <c r="B131">
        <v>2</v>
      </c>
      <c r="C131">
        <v>3.495251E-3</v>
      </c>
      <c r="D131">
        <f t="shared" si="24"/>
        <v>3.86922000330889E-6</v>
      </c>
      <c r="E131">
        <f t="shared" si="26"/>
        <v>7.73844000661778E-6</v>
      </c>
    </row>
    <row r="132" spans="1:6">
      <c r="A132" t="s">
        <v>137</v>
      </c>
      <c r="B132">
        <v>1</v>
      </c>
      <c r="C132">
        <v>3.8447759999999998E-3</v>
      </c>
      <c r="D132">
        <f t="shared" si="24"/>
        <v>5.3664423572988893E-6</v>
      </c>
      <c r="E132">
        <f t="shared" si="26"/>
        <v>5.3664423572988893E-6</v>
      </c>
    </row>
    <row r="133" spans="1:6">
      <c r="A133" t="s">
        <v>138</v>
      </c>
      <c r="B133">
        <v>1</v>
      </c>
      <c r="C133">
        <v>9.7867079999999999E-3</v>
      </c>
      <c r="D133">
        <f t="shared" si="24"/>
        <v>6.8202662035194103E-5</v>
      </c>
      <c r="E133">
        <f t="shared" si="26"/>
        <v>6.8202662035194103E-5</v>
      </c>
    </row>
    <row r="134" spans="1:6">
      <c r="A134" t="s">
        <v>139</v>
      </c>
      <c r="B134">
        <v>1</v>
      </c>
      <c r="C134">
        <v>1.1184809E-2</v>
      </c>
      <c r="D134">
        <f t="shared" si="24"/>
        <v>9.3249755535235681E-5</v>
      </c>
      <c r="E134">
        <f t="shared" si="26"/>
        <v>9.3249755535235681E-5</v>
      </c>
    </row>
    <row r="135" spans="1:6">
      <c r="C135">
        <f>Sheet2!E5</f>
        <v>1.5282176999999999E-3</v>
      </c>
    </row>
    <row r="137" spans="1:6">
      <c r="A137" t="s">
        <v>140</v>
      </c>
      <c r="B137">
        <v>542</v>
      </c>
      <c r="C137">
        <v>1.6777216000000001E-2</v>
      </c>
      <c r="D137">
        <f t="shared" ref="D137:D144" si="27">ABS(C$145-C137)*ABS(C$145-C137)</f>
        <v>1.5368751814392865E-6</v>
      </c>
      <c r="E137">
        <f t="shared" ref="E137" si="28">D137*B137</f>
        <v>8.3298634834009328E-4</v>
      </c>
      <c r="F137">
        <f>SQRT(SUM(E137:E144)/1000)</f>
        <v>5.2368389172195388E-3</v>
      </c>
    </row>
    <row r="138" spans="1:6">
      <c r="A138" t="s">
        <v>141</v>
      </c>
      <c r="B138">
        <f>921-542</f>
        <v>379</v>
      </c>
      <c r="C138">
        <v>2.2369620999999999E-2</v>
      </c>
      <c r="D138">
        <f t="shared" si="27"/>
        <v>1.8945973785427286E-5</v>
      </c>
      <c r="E138">
        <f t="shared" ref="E138:E144" si="29">D138*B138</f>
        <v>7.1805240646769415E-3</v>
      </c>
    </row>
    <row r="139" spans="1:6">
      <c r="A139" t="s">
        <v>142</v>
      </c>
      <c r="B139">
        <v>64</v>
      </c>
      <c r="C139">
        <v>2.7962026000000001E-2</v>
      </c>
      <c r="D139">
        <f t="shared" si="27"/>
        <v>9.8905059757465322E-5</v>
      </c>
      <c r="E139">
        <f t="shared" si="29"/>
        <v>6.3299238244777806E-3</v>
      </c>
    </row>
    <row r="140" spans="1:6">
      <c r="A140" t="s">
        <v>143</v>
      </c>
      <c r="B140">
        <v>7</v>
      </c>
      <c r="C140">
        <v>3.3554431000000003E-2</v>
      </c>
      <c r="D140">
        <f t="shared" si="27"/>
        <v>2.4141413309755339E-4</v>
      </c>
      <c r="E140">
        <f t="shared" si="29"/>
        <v>1.6898989316828737E-3</v>
      </c>
    </row>
    <row r="141" spans="1:6">
      <c r="A141" t="s">
        <v>144</v>
      </c>
      <c r="B141">
        <v>4</v>
      </c>
      <c r="C141">
        <v>3.9146835999999997E-2</v>
      </c>
      <c r="D141">
        <f t="shared" si="27"/>
        <v>4.4647319380569119E-4</v>
      </c>
      <c r="E141">
        <f t="shared" si="29"/>
        <v>1.7858927752227647E-3</v>
      </c>
    </row>
    <row r="142" spans="1:6">
      <c r="A142" t="s">
        <v>145</v>
      </c>
      <c r="B142">
        <v>2</v>
      </c>
      <c r="C142">
        <v>5.0331646000000001E-2</v>
      </c>
      <c r="D142">
        <f t="shared" si="27"/>
        <v>1.0442412773261174E-3</v>
      </c>
      <c r="E142">
        <f t="shared" si="29"/>
        <v>2.0884825546522347E-3</v>
      </c>
    </row>
    <row r="143" spans="1:6">
      <c r="A143" t="s">
        <v>146</v>
      </c>
      <c r="B143">
        <v>1</v>
      </c>
      <c r="C143">
        <v>6.7108864000000004E-2</v>
      </c>
      <c r="D143">
        <f t="shared" si="27"/>
        <v>2.4100186024187645E-3</v>
      </c>
      <c r="E143">
        <f t="shared" si="29"/>
        <v>2.4100186024187645E-3</v>
      </c>
    </row>
    <row r="144" spans="1:6">
      <c r="A144" t="s">
        <v>147</v>
      </c>
      <c r="B144">
        <v>1</v>
      </c>
      <c r="C144">
        <v>8.9478484999999996E-2</v>
      </c>
      <c r="D144">
        <f t="shared" si="27"/>
        <v>5.1067547434336582E-3</v>
      </c>
      <c r="E144">
        <f t="shared" si="29"/>
        <v>5.1067547434336582E-3</v>
      </c>
    </row>
    <row r="145" spans="1:6">
      <c r="C145">
        <f>Sheet2!AC5</f>
        <v>1.80169237E-2</v>
      </c>
    </row>
    <row r="147" spans="1:6">
      <c r="A147" t="s">
        <v>148</v>
      </c>
      <c r="B147">
        <v>531</v>
      </c>
      <c r="C147">
        <v>6.9905059999999996E-3</v>
      </c>
      <c r="D147">
        <f>ABS(C$155-C147)*ABS(C$155-C147)</f>
        <v>1.950696505556109E-7</v>
      </c>
      <c r="E147">
        <f t="shared" ref="E147" si="30">D147*B147</f>
        <v>1.0358198444502938E-4</v>
      </c>
      <c r="F147">
        <f>SQRT(SUM(E147:E154)/1000)</f>
        <v>1.5719820500081554E-3</v>
      </c>
    </row>
    <row r="148" spans="1:6">
      <c r="A148" t="s">
        <v>149</v>
      </c>
      <c r="B148">
        <f>845-531</f>
        <v>314</v>
      </c>
      <c r="C148">
        <v>8.3886069999999993E-3</v>
      </c>
      <c r="D148">
        <f t="shared" ref="D148:D154" si="31">ABS(C$155-C148)*ABS(C$155-C148)</f>
        <v>9.1476618764280744E-7</v>
      </c>
      <c r="E148">
        <f t="shared" ref="E148:E154" si="32">D148*B148</f>
        <v>2.8723658291984153E-4</v>
      </c>
    </row>
    <row r="149" spans="1:6">
      <c r="A149" t="s">
        <v>150</v>
      </c>
      <c r="B149">
        <f>938-845</f>
        <v>93</v>
      </c>
      <c r="C149">
        <v>9.7867079999999999E-3</v>
      </c>
      <c r="D149">
        <f t="shared" si="31"/>
        <v>5.5438355371320065E-6</v>
      </c>
      <c r="E149">
        <f t="shared" si="32"/>
        <v>5.1557670495327665E-4</v>
      </c>
    </row>
    <row r="150" spans="1:6">
      <c r="A150" t="s">
        <v>151</v>
      </c>
      <c r="B150">
        <f>974-938</f>
        <v>36</v>
      </c>
      <c r="C150">
        <v>1.1184809E-2</v>
      </c>
      <c r="D150">
        <f t="shared" si="31"/>
        <v>1.4082277699023209E-5</v>
      </c>
      <c r="E150">
        <f t="shared" si="32"/>
        <v>5.0696199716483551E-4</v>
      </c>
    </row>
    <row r="151" spans="1:6">
      <c r="A151" t="s">
        <v>152</v>
      </c>
      <c r="B151">
        <f>991-974</f>
        <v>17</v>
      </c>
      <c r="C151">
        <v>1.2582909999999999E-2</v>
      </c>
      <c r="D151">
        <f t="shared" si="31"/>
        <v>2.6530092673316397E-5</v>
      </c>
      <c r="E151">
        <f t="shared" si="32"/>
        <v>4.5101157544637872E-4</v>
      </c>
    </row>
    <row r="152" spans="1:6">
      <c r="A152" t="s">
        <v>153</v>
      </c>
      <c r="B152">
        <v>6</v>
      </c>
      <c r="C152">
        <v>1.3981011E-2</v>
      </c>
      <c r="D152">
        <f t="shared" si="31"/>
        <v>4.2887280460011597E-5</v>
      </c>
      <c r="E152">
        <f t="shared" si="32"/>
        <v>2.5732368276006957E-4</v>
      </c>
    </row>
    <row r="153" spans="1:6">
      <c r="A153" t="s">
        <v>154</v>
      </c>
      <c r="B153">
        <v>2</v>
      </c>
      <c r="C153">
        <v>1.5379112E-2</v>
      </c>
      <c r="D153">
        <f t="shared" si="31"/>
        <v>6.3153841059108802E-5</v>
      </c>
      <c r="E153">
        <f t="shared" si="32"/>
        <v>1.263076821182176E-4</v>
      </c>
    </row>
    <row r="154" spans="1:6">
      <c r="A154" t="s">
        <v>155</v>
      </c>
      <c r="B154">
        <v>1</v>
      </c>
      <c r="C154">
        <v>2.2369620999999999E-2</v>
      </c>
      <c r="D154">
        <f t="shared" si="31"/>
        <v>2.2312735574019356E-4</v>
      </c>
      <c r="E154">
        <f t="shared" si="32"/>
        <v>2.2312735574019356E-4</v>
      </c>
    </row>
    <row r="155" spans="1:6">
      <c r="C155">
        <f>Sheet2!T5</f>
        <v>7.4321729000000007E-3</v>
      </c>
    </row>
    <row r="157" spans="1:6">
      <c r="A157" t="s">
        <v>156</v>
      </c>
      <c r="B157">
        <v>42</v>
      </c>
      <c r="C157">
        <v>0.13421772700000001</v>
      </c>
      <c r="D157">
        <f>ABS(C$166-C157)*ABS(C$166-C157)</f>
        <v>2.1941200609640844E-3</v>
      </c>
      <c r="E157">
        <f t="shared" ref="E157" si="33">D157*B157</f>
        <v>9.2153042560491547E-2</v>
      </c>
      <c r="F157">
        <f>SQRT(SUM(E157:E165)/1000)</f>
        <v>4.6811658558229358E-2</v>
      </c>
    </row>
    <row r="158" spans="1:6">
      <c r="A158" t="s">
        <v>157</v>
      </c>
      <c r="B158">
        <f>331-42</f>
        <v>289</v>
      </c>
      <c r="C158">
        <v>0.15658734799999999</v>
      </c>
      <c r="D158">
        <f t="shared" ref="D158:D165" si="34">ABS(C$166-C158)*ABS(C$166-C158)</f>
        <v>5.988696951336848E-4</v>
      </c>
      <c r="E158">
        <f t="shared" ref="E158:E165" si="35">D158*B158</f>
        <v>0.17307334189363491</v>
      </c>
    </row>
    <row r="159" spans="1:6">
      <c r="A159" t="s">
        <v>158</v>
      </c>
      <c r="B159">
        <f>546-331</f>
        <v>215</v>
      </c>
      <c r="C159">
        <v>0.17895696899999999</v>
      </c>
      <c r="D159">
        <f t="shared" si="34"/>
        <v>4.4192166705648868E-6</v>
      </c>
      <c r="E159">
        <f t="shared" si="35"/>
        <v>9.5013158417145069E-4</v>
      </c>
    </row>
    <row r="160" spans="1:6">
      <c r="A160" t="s">
        <v>159</v>
      </c>
      <c r="B160">
        <f>748-546</f>
        <v>202</v>
      </c>
      <c r="C160">
        <v>0.20132659</v>
      </c>
      <c r="D160">
        <f t="shared" si="34"/>
        <v>4.1076862557472759E-4</v>
      </c>
      <c r="E160">
        <f t="shared" si="35"/>
        <v>8.2975262366094968E-2</v>
      </c>
    </row>
    <row r="161" spans="1:6">
      <c r="A161" t="s">
        <v>160</v>
      </c>
      <c r="B161">
        <f>878-748</f>
        <v>130</v>
      </c>
      <c r="C161">
        <v>0.22369621100000001</v>
      </c>
      <c r="D161">
        <f t="shared" si="34"/>
        <v>1.8179179218461728E-3</v>
      </c>
      <c r="E161">
        <f t="shared" si="35"/>
        <v>0.23632932984000246</v>
      </c>
    </row>
    <row r="162" spans="1:6">
      <c r="A162" t="s">
        <v>161</v>
      </c>
      <c r="B162">
        <f>937-878</f>
        <v>59</v>
      </c>
      <c r="C162">
        <v>0.24606583200000001</v>
      </c>
      <c r="D162">
        <f t="shared" si="34"/>
        <v>4.2258671054849007E-3</v>
      </c>
      <c r="E162">
        <f t="shared" si="35"/>
        <v>0.24932615922360915</v>
      </c>
    </row>
    <row r="163" spans="1:6">
      <c r="A163" t="s">
        <v>162</v>
      </c>
      <c r="B163">
        <f>968-937</f>
        <v>31</v>
      </c>
      <c r="C163">
        <v>0.26843545600000002</v>
      </c>
      <c r="D163">
        <f t="shared" si="34"/>
        <v>7.6346167007486643E-3</v>
      </c>
      <c r="E163">
        <f t="shared" si="35"/>
        <v>0.23667311772320859</v>
      </c>
    </row>
    <row r="164" spans="1:6">
      <c r="A164" t="s">
        <v>163</v>
      </c>
      <c r="B164">
        <f>997-968</f>
        <v>29</v>
      </c>
      <c r="C164">
        <v>0.35791394100000001</v>
      </c>
      <c r="D164">
        <f t="shared" si="34"/>
        <v>3.1277612749025983E-2</v>
      </c>
      <c r="E164">
        <f t="shared" si="35"/>
        <v>0.90705076972175347</v>
      </c>
    </row>
    <row r="165" spans="1:6">
      <c r="A165" t="s">
        <v>164</v>
      </c>
      <c r="B165">
        <v>3</v>
      </c>
      <c r="C165">
        <v>0.44739242600000001</v>
      </c>
      <c r="D165">
        <f t="shared" si="34"/>
        <v>7.0933407353093739E-2</v>
      </c>
      <c r="E165">
        <f t="shared" si="35"/>
        <v>0.21280022205928123</v>
      </c>
    </row>
    <row r="166" spans="1:6">
      <c r="C166">
        <f>Sheet2!AA5</f>
        <v>0.18105916229999999</v>
      </c>
    </row>
    <row r="168" spans="1:6">
      <c r="A168" t="s">
        <v>165</v>
      </c>
      <c r="B168">
        <v>626</v>
      </c>
      <c r="C168">
        <v>2.0971509999999998E-3</v>
      </c>
      <c r="D168">
        <f>ABS(C$178-C168)*ABS(C$178-C168)</f>
        <v>2.0320559520040009E-8</v>
      </c>
      <c r="E168">
        <f t="shared" ref="E168" si="36">D168*B168</f>
        <v>1.2720670259545045E-5</v>
      </c>
      <c r="F168">
        <f>SQRT(SUM(E168:E177)/1000)</f>
        <v>1.0374632980614347E-3</v>
      </c>
    </row>
    <row r="169" spans="1:6">
      <c r="A169" t="s">
        <v>166</v>
      </c>
      <c r="B169">
        <f>855-626</f>
        <v>229</v>
      </c>
      <c r="C169">
        <v>2.4466760000000001E-3</v>
      </c>
      <c r="D169">
        <f t="shared" ref="D169:D177" si="37">ABS(C$178-C169)*ABS(C$178-C169)</f>
        <v>4.2838567835040094E-8</v>
      </c>
      <c r="E169">
        <f t="shared" ref="E169:E177" si="38">D169*B169</f>
        <v>9.8100320342241817E-6</v>
      </c>
    </row>
    <row r="170" spans="1:6">
      <c r="A170" t="s">
        <v>167</v>
      </c>
      <c r="B170">
        <f>913-855</f>
        <v>58</v>
      </c>
      <c r="C170">
        <v>2.7962009999999999E-3</v>
      </c>
      <c r="D170">
        <f t="shared" si="37"/>
        <v>3.0969202740004007E-7</v>
      </c>
      <c r="E170">
        <f t="shared" si="38"/>
        <v>1.7962137589202325E-5</v>
      </c>
    </row>
    <row r="171" spans="1:6">
      <c r="A171" t="s">
        <v>168</v>
      </c>
      <c r="B171">
        <f>929-913</f>
        <v>16</v>
      </c>
      <c r="C171">
        <v>3.1457260000000002E-3</v>
      </c>
      <c r="D171">
        <f t="shared" si="37"/>
        <v>8.2088093821504064E-7</v>
      </c>
      <c r="E171">
        <f t="shared" si="38"/>
        <v>1.313409501144065E-5</v>
      </c>
    </row>
    <row r="172" spans="1:6">
      <c r="A172" t="s">
        <v>169</v>
      </c>
      <c r="B172">
        <f>954-929</f>
        <v>25</v>
      </c>
      <c r="C172">
        <v>3.495251E-3</v>
      </c>
      <c r="D172">
        <f t="shared" si="37"/>
        <v>1.5764053002800403E-6</v>
      </c>
      <c r="E172">
        <f t="shared" si="38"/>
        <v>3.9410132507001008E-5</v>
      </c>
    </row>
    <row r="173" spans="1:6">
      <c r="A173" t="s">
        <v>170</v>
      </c>
      <c r="B173">
        <f>968-954</f>
        <v>14</v>
      </c>
      <c r="C173">
        <v>3.8447759999999998E-3</v>
      </c>
      <c r="D173">
        <f t="shared" si="37"/>
        <v>2.57626511359504E-6</v>
      </c>
      <c r="E173">
        <f t="shared" si="38"/>
        <v>3.6067711590330556E-5</v>
      </c>
    </row>
    <row r="174" spans="1:6">
      <c r="A174" t="s">
        <v>171</v>
      </c>
      <c r="B174">
        <f>978-968</f>
        <v>10</v>
      </c>
      <c r="C174">
        <v>4.1943040000000003E-3</v>
      </c>
      <c r="D174">
        <f t="shared" si="37"/>
        <v>3.8204721057678413E-6</v>
      </c>
      <c r="E174">
        <f t="shared" si="38"/>
        <v>3.8204721057678411E-5</v>
      </c>
    </row>
    <row r="175" spans="1:6">
      <c r="A175" t="s">
        <v>172</v>
      </c>
      <c r="B175">
        <f>998-978</f>
        <v>20</v>
      </c>
      <c r="C175">
        <v>5.5924049999999999E-3</v>
      </c>
      <c r="D175">
        <f t="shared" si="37"/>
        <v>1.1240622770534441E-5</v>
      </c>
      <c r="E175">
        <f t="shared" si="38"/>
        <v>2.2481245541068883E-4</v>
      </c>
    </row>
    <row r="176" spans="1:6">
      <c r="A176" t="s">
        <v>173</v>
      </c>
      <c r="B176">
        <v>1</v>
      </c>
      <c r="C176">
        <v>6.9905059999999996E-3</v>
      </c>
      <c r="D176">
        <f t="shared" si="37"/>
        <v>2.2570146247703034E-5</v>
      </c>
      <c r="E176">
        <f t="shared" si="38"/>
        <v>2.2570146247703034E-5</v>
      </c>
    </row>
    <row r="177" spans="1:6">
      <c r="A177" t="s">
        <v>174</v>
      </c>
      <c r="B177">
        <v>1</v>
      </c>
      <c r="C177">
        <v>2.7962026000000001E-2</v>
      </c>
      <c r="D177">
        <f t="shared" si="37"/>
        <v>6.6163799311669508E-4</v>
      </c>
      <c r="E177">
        <f t="shared" si="38"/>
        <v>6.6163799311669508E-4</v>
      </c>
    </row>
    <row r="178" spans="1:6">
      <c r="C178">
        <f>Sheet2!Y5</f>
        <v>2.2397011999999998E-3</v>
      </c>
    </row>
    <row r="180" spans="1:6">
      <c r="A180" t="s">
        <v>175</v>
      </c>
      <c r="B180">
        <v>3</v>
      </c>
      <c r="C180">
        <v>0.26843545600000002</v>
      </c>
      <c r="D180">
        <f>ABS(C$186-C180)*ABS(C$186-C180)</f>
        <v>1.4377310352122888E-3</v>
      </c>
      <c r="E180">
        <f t="shared" ref="E180" si="39">D180*B180</f>
        <v>4.3131931056368663E-3</v>
      </c>
      <c r="F180">
        <f>SQRT(SUM(E180:E185)/1000)</f>
        <v>7.1319472883962953E-2</v>
      </c>
    </row>
    <row r="181" spans="1:6">
      <c r="A181" t="s">
        <v>176</v>
      </c>
      <c r="B181">
        <v>922</v>
      </c>
      <c r="C181">
        <v>0.35791394100000001</v>
      </c>
      <c r="D181">
        <f t="shared" ref="D181:D185" si="40">ABS(C$186-C181)*ABS(C$186-C181)</f>
        <v>2.6585430217579359E-3</v>
      </c>
      <c r="E181">
        <f t="shared" ref="E181:E185" si="41">D181*B181</f>
        <v>2.451176666060817</v>
      </c>
    </row>
    <row r="182" spans="1:6">
      <c r="A182" t="s">
        <v>177</v>
      </c>
      <c r="B182">
        <f>982-925</f>
        <v>57</v>
      </c>
      <c r="C182">
        <v>0.44739242600000001</v>
      </c>
      <c r="D182">
        <f t="shared" si="40"/>
        <v>1.9892153564094031E-2</v>
      </c>
      <c r="E182">
        <f t="shared" si="41"/>
        <v>1.1338527531533598</v>
      </c>
    </row>
    <row r="183" spans="1:6">
      <c r="A183" t="s">
        <v>178</v>
      </c>
      <c r="B183">
        <v>11</v>
      </c>
      <c r="C183">
        <v>0.53687091099999995</v>
      </c>
      <c r="D183">
        <f t="shared" si="40"/>
        <v>5.313856266222055E-2</v>
      </c>
      <c r="E183">
        <f t="shared" si="41"/>
        <v>0.58452418928442607</v>
      </c>
    </row>
    <row r="184" spans="1:6">
      <c r="A184" t="s">
        <v>179</v>
      </c>
      <c r="B184">
        <v>4</v>
      </c>
      <c r="C184">
        <v>0.62634939599999995</v>
      </c>
      <c r="D184">
        <f t="shared" si="40"/>
        <v>0.10239777031613753</v>
      </c>
      <c r="E184">
        <f t="shared" si="41"/>
        <v>0.40959108126455013</v>
      </c>
    </row>
    <row r="185" spans="1:6">
      <c r="A185" t="s">
        <v>180</v>
      </c>
      <c r="B185">
        <v>3</v>
      </c>
      <c r="C185">
        <v>0.71582788100000005</v>
      </c>
      <c r="D185">
        <f t="shared" si="40"/>
        <v>0.16766977652584505</v>
      </c>
      <c r="E185">
        <f t="shared" si="41"/>
        <v>0.50300932957753519</v>
      </c>
    </row>
    <row r="186" spans="1:6">
      <c r="C186">
        <f>Sheet2!J5</f>
        <v>0.30635287989999999</v>
      </c>
    </row>
    <row r="188" spans="1:6">
      <c r="A188" t="s">
        <v>181</v>
      </c>
      <c r="B188">
        <v>2</v>
      </c>
      <c r="C188">
        <v>3.495251E-3</v>
      </c>
      <c r="D188">
        <f>ABS(C$200-C188)*ABS(C$200-C188)</f>
        <v>2.4916246818416111E-6</v>
      </c>
      <c r="E188">
        <f t="shared" ref="E188" si="42">D188*B188</f>
        <v>4.9832493636832223E-6</v>
      </c>
      <c r="F188">
        <f>SQRT(SUM(E188:E199)/1000)</f>
        <v>1.2329612741153607E-3</v>
      </c>
    </row>
    <row r="189" spans="1:6">
      <c r="A189" t="s">
        <v>182</v>
      </c>
      <c r="B189">
        <v>12</v>
      </c>
      <c r="C189">
        <v>3.8447759999999998E-3</v>
      </c>
      <c r="D189">
        <f t="shared" ref="D189:D199" si="43">ABS(C$200-C189)*ABS(C$200-C189)</f>
        <v>1.5103503011616111E-6</v>
      </c>
      <c r="E189">
        <f t="shared" ref="E189:E199" si="44">D189*B189</f>
        <v>1.8124203613939333E-5</v>
      </c>
    </row>
    <row r="190" spans="1:6">
      <c r="A190" t="s">
        <v>183</v>
      </c>
      <c r="B190">
        <v>16</v>
      </c>
      <c r="C190">
        <v>4.1943040000000003E-3</v>
      </c>
      <c r="D190">
        <f t="shared" si="43"/>
        <v>7.7340609511201011E-7</v>
      </c>
      <c r="E190">
        <f t="shared" si="44"/>
        <v>1.2374497521792162E-5</v>
      </c>
    </row>
    <row r="191" spans="1:6">
      <c r="A191" t="s">
        <v>184</v>
      </c>
      <c r="B191">
        <v>855</v>
      </c>
      <c r="C191">
        <v>5.5924049999999999E-3</v>
      </c>
      <c r="D191">
        <f t="shared" si="43"/>
        <v>2.6901431582280959E-7</v>
      </c>
      <c r="E191">
        <f t="shared" si="44"/>
        <v>2.3000724002850218E-4</v>
      </c>
    </row>
    <row r="192" spans="1:6">
      <c r="A192" t="s">
        <v>185</v>
      </c>
      <c r="B192">
        <f>967-885</f>
        <v>82</v>
      </c>
      <c r="C192">
        <v>6.9905059999999996E-3</v>
      </c>
      <c r="D192">
        <f t="shared" si="43"/>
        <v>3.6739953489356071E-6</v>
      </c>
      <c r="E192">
        <f t="shared" si="44"/>
        <v>3.0126761861271978E-4</v>
      </c>
    </row>
    <row r="193" spans="1:6">
      <c r="A193" t="s">
        <v>186</v>
      </c>
      <c r="B193">
        <v>22</v>
      </c>
      <c r="C193">
        <v>8.3886069999999993E-3</v>
      </c>
      <c r="D193">
        <f t="shared" si="43"/>
        <v>1.0988349194450403E-5</v>
      </c>
      <c r="E193">
        <f t="shared" si="44"/>
        <v>2.4174368227790886E-4</v>
      </c>
    </row>
    <row r="194" spans="1:6">
      <c r="A194" t="s">
        <v>187</v>
      </c>
      <c r="B194">
        <v>6</v>
      </c>
      <c r="C194">
        <v>9.7867079999999999E-3</v>
      </c>
      <c r="D194">
        <f t="shared" si="43"/>
        <v>2.2212075852367207E-5</v>
      </c>
      <c r="E194">
        <f t="shared" si="44"/>
        <v>1.3327245511420325E-4</v>
      </c>
    </row>
    <row r="195" spans="1:6">
      <c r="A195" t="s">
        <v>188</v>
      </c>
      <c r="B195">
        <v>1</v>
      </c>
      <c r="C195">
        <v>1.1184809E-2</v>
      </c>
      <c r="D195">
        <f t="shared" si="43"/>
        <v>3.7345175322686012E-5</v>
      </c>
      <c r="E195">
        <f t="shared" si="44"/>
        <v>3.7345175322686012E-5</v>
      </c>
    </row>
    <row r="196" spans="1:6">
      <c r="A196" t="s">
        <v>189</v>
      </c>
      <c r="B196">
        <v>1</v>
      </c>
      <c r="C196">
        <v>1.2582909999999999E-2</v>
      </c>
      <c r="D196">
        <f t="shared" si="43"/>
        <v>5.6387647605406794E-5</v>
      </c>
      <c r="E196">
        <f t="shared" si="44"/>
        <v>5.6387647605406794E-5</v>
      </c>
    </row>
    <row r="197" spans="1:6">
      <c r="A197" t="s">
        <v>190</v>
      </c>
      <c r="B197">
        <v>1</v>
      </c>
      <c r="C197">
        <v>1.3981011E-2</v>
      </c>
      <c r="D197">
        <f t="shared" si="43"/>
        <v>7.9339492700529607E-5</v>
      </c>
      <c r="E197">
        <f t="shared" si="44"/>
        <v>7.9339492700529607E-5</v>
      </c>
    </row>
    <row r="198" spans="1:6">
      <c r="A198" t="s">
        <v>191</v>
      </c>
      <c r="B198">
        <v>1</v>
      </c>
      <c r="C198">
        <v>1.5379112E-2</v>
      </c>
      <c r="D198">
        <f t="shared" si="43"/>
        <v>1.0620071060805441E-4</v>
      </c>
      <c r="E198">
        <f t="shared" si="44"/>
        <v>1.0620071060805441E-4</v>
      </c>
    </row>
    <row r="199" spans="1:6">
      <c r="A199" t="s">
        <v>192</v>
      </c>
      <c r="B199">
        <v>1</v>
      </c>
      <c r="C199">
        <v>2.2369620999999999E-2</v>
      </c>
      <c r="D199">
        <f t="shared" si="43"/>
        <v>2.9914753069874752E-4</v>
      </c>
      <c r="E199">
        <f t="shared" si="44"/>
        <v>2.9914753069874752E-4</v>
      </c>
    </row>
    <row r="200" spans="1:6">
      <c r="C200">
        <f>Sheet2!L5</f>
        <v>5.0737391000000003E-3</v>
      </c>
    </row>
    <row r="202" spans="1:6">
      <c r="A202" t="s">
        <v>193</v>
      </c>
      <c r="B202">
        <v>20</v>
      </c>
      <c r="C202">
        <v>9.7867079999999999E-3</v>
      </c>
      <c r="D202">
        <f>ABS(C$211-C202)*ABS(C$211-C202)</f>
        <v>2.0995181180179612E-6</v>
      </c>
      <c r="E202">
        <f t="shared" ref="E202" si="45">D202*B202</f>
        <v>4.1990362360359223E-5</v>
      </c>
      <c r="F202">
        <f>SQRT(SUM(E202:E210)/1000)</f>
        <v>2.3978330741894838E-3</v>
      </c>
    </row>
    <row r="203" spans="1:6">
      <c r="A203" t="s">
        <v>194</v>
      </c>
      <c r="B203">
        <f>713-20</f>
        <v>693</v>
      </c>
      <c r="C203">
        <v>1.1184809E-2</v>
      </c>
      <c r="D203">
        <f t="shared" ref="D203:D210" si="46">ABS(C$211-C203)*ABS(C$211-C203)</f>
        <v>2.587797596159987E-9</v>
      </c>
      <c r="E203">
        <f t="shared" ref="E203:E210" si="47">D203*B203</f>
        <v>1.7933437341388709E-6</v>
      </c>
    </row>
    <row r="204" spans="1:6">
      <c r="A204" t="s">
        <v>195</v>
      </c>
      <c r="B204">
        <f>971-713</f>
        <v>258</v>
      </c>
      <c r="C204">
        <v>1.2582909999999999E-2</v>
      </c>
      <c r="D204">
        <f t="shared" si="46"/>
        <v>1.8150302895763571E-6</v>
      </c>
      <c r="E204">
        <f t="shared" si="47"/>
        <v>4.6827781471070012E-4</v>
      </c>
    </row>
    <row r="205" spans="1:6">
      <c r="A205" t="s">
        <v>196</v>
      </c>
      <c r="B205">
        <f>935-871</f>
        <v>64</v>
      </c>
      <c r="C205">
        <v>1.3981011E-2</v>
      </c>
      <c r="D205">
        <f t="shared" si="46"/>
        <v>7.5368455939585576E-6</v>
      </c>
      <c r="E205">
        <f t="shared" si="47"/>
        <v>4.8235811801334769E-4</v>
      </c>
    </row>
    <row r="206" spans="1:6">
      <c r="A206" t="s">
        <v>197</v>
      </c>
      <c r="B206">
        <f>968-935</f>
        <v>33</v>
      </c>
      <c r="C206">
        <v>1.5379112E-2</v>
      </c>
      <c r="D206">
        <f t="shared" si="46"/>
        <v>1.716803371074276E-5</v>
      </c>
      <c r="E206">
        <f t="shared" si="47"/>
        <v>5.6654511245451109E-4</v>
      </c>
    </row>
    <row r="207" spans="1:6">
      <c r="A207" t="s">
        <v>198</v>
      </c>
      <c r="B207">
        <f>982-968</f>
        <v>14</v>
      </c>
      <c r="C207">
        <v>1.6777216000000001E-2</v>
      </c>
      <c r="D207">
        <f t="shared" si="46"/>
        <v>3.0708627889139572E-5</v>
      </c>
      <c r="E207">
        <f t="shared" si="47"/>
        <v>4.2992079044795403E-4</v>
      </c>
    </row>
    <row r="208" spans="1:6">
      <c r="A208" t="s">
        <v>199</v>
      </c>
      <c r="B208">
        <v>11</v>
      </c>
      <c r="C208">
        <v>2.2369620999999999E-2</v>
      </c>
      <c r="D208">
        <f t="shared" si="46"/>
        <v>1.2396465555221053E-4</v>
      </c>
      <c r="E208">
        <f t="shared" si="47"/>
        <v>1.3636112110743158E-3</v>
      </c>
    </row>
    <row r="209" spans="1:6">
      <c r="A209" t="s">
        <v>200</v>
      </c>
      <c r="B209">
        <v>5</v>
      </c>
      <c r="C209">
        <v>2.7962026000000001E-2</v>
      </c>
      <c r="D209">
        <f t="shared" si="46"/>
        <v>2.7977067058333158E-4</v>
      </c>
      <c r="E209">
        <f t="shared" si="47"/>
        <v>1.398853352916658E-3</v>
      </c>
    </row>
    <row r="210" spans="1:6">
      <c r="A210" t="s">
        <v>201</v>
      </c>
      <c r="B210">
        <v>2</v>
      </c>
      <c r="C210">
        <v>3.3554431000000003E-2</v>
      </c>
      <c r="D210">
        <f t="shared" si="46"/>
        <v>4.9812667298250262E-4</v>
      </c>
      <c r="E210">
        <f t="shared" si="47"/>
        <v>9.9625334596500524E-4</v>
      </c>
    </row>
    <row r="211" spans="1:6">
      <c r="C211">
        <f>Sheet2!X5</f>
        <v>1.12356794E-2</v>
      </c>
    </row>
    <row r="213" spans="1:6">
      <c r="A213" t="s">
        <v>202</v>
      </c>
      <c r="B213">
        <v>933</v>
      </c>
      <c r="C213">
        <v>1E-3</v>
      </c>
      <c r="D213">
        <f>ABS(C$217-C213)*ABS(C$217-C213)</f>
        <v>5.024833324995999E-8</v>
      </c>
      <c r="E213">
        <f t="shared" ref="E213" si="48">D213*B213</f>
        <v>4.688169492221267E-5</v>
      </c>
      <c r="F213">
        <f>SQRT(SUM(E213:E216)/1000)</f>
        <v>2.6143285841934556E-4</v>
      </c>
    </row>
    <row r="214" spans="1:6">
      <c r="A214" t="s">
        <v>203</v>
      </c>
      <c r="B214">
        <v>22</v>
      </c>
      <c r="C214">
        <v>1.0485760000000001E-3</v>
      </c>
      <c r="D214">
        <f t="shared" ref="D214:D216" si="49">ABS(C$217-C214)*ABS(C$217-C214)</f>
        <v>7.4385689358760009E-8</v>
      </c>
      <c r="E214">
        <f t="shared" ref="E214:E216" si="50">D214*B214</f>
        <v>1.6364851658927202E-6</v>
      </c>
    </row>
    <row r="215" spans="1:6">
      <c r="A215" t="s">
        <v>204</v>
      </c>
      <c r="B215">
        <v>44</v>
      </c>
      <c r="C215">
        <v>1.3981009999999999E-3</v>
      </c>
      <c r="D215">
        <f t="shared" si="49"/>
        <v>3.8721049445375981E-7</v>
      </c>
      <c r="E215">
        <f t="shared" si="50"/>
        <v>1.7037261755965434E-5</v>
      </c>
    </row>
    <row r="216" spans="1:6">
      <c r="A216" t="s">
        <v>205</v>
      </c>
      <c r="B216">
        <v>1</v>
      </c>
      <c r="C216">
        <v>2.4466760000000001E-3</v>
      </c>
      <c r="D216">
        <f t="shared" si="49"/>
        <v>2.79169761723876E-6</v>
      </c>
      <c r="E216">
        <f t="shared" si="50"/>
        <v>2.79169761723876E-6</v>
      </c>
    </row>
    <row r="217" spans="1:6">
      <c r="C217">
        <f>Sheet2!U5</f>
        <v>7.7583860000000004E-4</v>
      </c>
    </row>
    <row r="219" spans="1:6">
      <c r="A219" t="s">
        <v>206</v>
      </c>
      <c r="B219">
        <v>124</v>
      </c>
      <c r="C219">
        <v>5.0331646000000001E-2</v>
      </c>
      <c r="D219">
        <f>ABS(C$227-C219)*ABS(C$227-C219)</f>
        <v>4.4962295284448959E-5</v>
      </c>
      <c r="E219">
        <f t="shared" ref="E219" si="51">D219*B219</f>
        <v>5.5753246152716708E-3</v>
      </c>
      <c r="F219">
        <f>SQRT(SUM(E219:E226)/1000)</f>
        <v>1.3716635982516993E-2</v>
      </c>
    </row>
    <row r="220" spans="1:6">
      <c r="A220" t="s">
        <v>207</v>
      </c>
      <c r="B220">
        <v>526</v>
      </c>
      <c r="C220">
        <v>5.5924051000000002E-2</v>
      </c>
      <c r="D220">
        <f t="shared" ref="D220:D226" si="52">ABS(C$227-C220)*ABS(C$227-C220)</f>
        <v>1.2387422881439896E-6</v>
      </c>
      <c r="E220">
        <f t="shared" ref="E220:E226" si="53">D220*B220</f>
        <v>6.5157844356373857E-4</v>
      </c>
    </row>
    <row r="221" spans="1:6">
      <c r="A221" t="s">
        <v>208</v>
      </c>
      <c r="B221">
        <f>822-650</f>
        <v>172</v>
      </c>
      <c r="C221">
        <v>6.1516455999999997E-2</v>
      </c>
      <c r="D221">
        <f t="shared" si="52"/>
        <v>2.0065176659888997E-5</v>
      </c>
      <c r="E221">
        <f t="shared" si="53"/>
        <v>3.4512103855009074E-3</v>
      </c>
    </row>
    <row r="222" spans="1:6">
      <c r="A222" t="s">
        <v>209</v>
      </c>
      <c r="B222">
        <f>889-822</f>
        <v>67</v>
      </c>
      <c r="C222">
        <v>6.7108864000000004E-2</v>
      </c>
      <c r="D222">
        <f t="shared" si="52"/>
        <v>1.0144165883062513E-4</v>
      </c>
      <c r="E222">
        <f t="shared" si="53"/>
        <v>6.7965911416518832E-3</v>
      </c>
    </row>
    <row r="223" spans="1:6">
      <c r="A223" t="s">
        <v>210</v>
      </c>
      <c r="B223">
        <f>982-889</f>
        <v>93</v>
      </c>
      <c r="C223">
        <v>8.9478484999999996E-2</v>
      </c>
      <c r="D223">
        <f t="shared" si="52"/>
        <v>1.052447418570916E-3</v>
      </c>
      <c r="E223">
        <f t="shared" si="53"/>
        <v>9.7877609927095183E-2</v>
      </c>
    </row>
    <row r="224" spans="1:6">
      <c r="A224" t="s">
        <v>211</v>
      </c>
      <c r="B224">
        <f>996-982</f>
        <v>14</v>
      </c>
      <c r="C224">
        <v>0.111848106</v>
      </c>
      <c r="D224">
        <f t="shared" si="52"/>
        <v>3.0042530656784897E-3</v>
      </c>
      <c r="E224">
        <f t="shared" si="53"/>
        <v>4.2059542919498857E-2</v>
      </c>
    </row>
    <row r="225" spans="1:6">
      <c r="A225" t="s">
        <v>212</v>
      </c>
      <c r="B225">
        <v>2</v>
      </c>
      <c r="C225">
        <v>0.13421772700000001</v>
      </c>
      <c r="D225">
        <f t="shared" si="52"/>
        <v>5.9568586001533461E-3</v>
      </c>
      <c r="E225">
        <f t="shared" si="53"/>
        <v>1.1913717200306692E-2</v>
      </c>
    </row>
    <row r="226" spans="1:6">
      <c r="A226" t="s">
        <v>213</v>
      </c>
      <c r="B226">
        <v>2</v>
      </c>
      <c r="C226">
        <v>0.15658734799999999</v>
      </c>
      <c r="D226">
        <f t="shared" si="52"/>
        <v>9.9102640219954786E-3</v>
      </c>
      <c r="E226">
        <f t="shared" si="53"/>
        <v>1.9820528043990957E-2</v>
      </c>
    </row>
    <row r="227" spans="1:6">
      <c r="C227">
        <f>Sheet2!C5</f>
        <v>5.7037038999999998E-2</v>
      </c>
    </row>
    <row r="229" spans="1:6">
      <c r="A229" t="s">
        <v>214</v>
      </c>
      <c r="B229">
        <v>646</v>
      </c>
      <c r="C229">
        <v>9.7867079999999999E-3</v>
      </c>
      <c r="D229">
        <f>ABS(C$239-C229)*ABS(C$239-C229)</f>
        <v>8.6161974328960822E-8</v>
      </c>
      <c r="E229">
        <f t="shared" ref="E229" si="54">D229*B229</f>
        <v>5.5660635416508688E-5</v>
      </c>
      <c r="F229">
        <f>SQRT(SUM(E229:E238)/1000)</f>
        <v>2.5470666618809205E-3</v>
      </c>
    </row>
    <row r="230" spans="1:6">
      <c r="A230" t="s">
        <v>215</v>
      </c>
      <c r="B230">
        <f>848-646</f>
        <v>202</v>
      </c>
      <c r="C230">
        <v>1.1184809E-2</v>
      </c>
      <c r="D230">
        <f t="shared" ref="D230:D238" si="55">ABS(C$239-C230)*ABS(C$239-C230)</f>
        <v>1.220069141142758E-6</v>
      </c>
      <c r="E230">
        <f t="shared" ref="E230:E238" si="56">D230*B230</f>
        <v>2.4645396651083712E-4</v>
      </c>
    </row>
    <row r="231" spans="1:6">
      <c r="A231" t="s">
        <v>216</v>
      </c>
      <c r="B231">
        <f>926-848</f>
        <v>78</v>
      </c>
      <c r="C231">
        <v>1.2582909999999999E-2</v>
      </c>
      <c r="D231">
        <f t="shared" si="55"/>
        <v>6.26334912035855E-6</v>
      </c>
      <c r="E231">
        <f t="shared" si="56"/>
        <v>4.8854123138796694E-4</v>
      </c>
    </row>
    <row r="232" spans="1:6">
      <c r="A232" t="s">
        <v>217</v>
      </c>
      <c r="B232">
        <f>964-926</f>
        <v>38</v>
      </c>
      <c r="C232">
        <v>1.3981011E-2</v>
      </c>
      <c r="D232">
        <f t="shared" si="55"/>
        <v>1.5216001911976348E-5</v>
      </c>
      <c r="E232">
        <f t="shared" si="56"/>
        <v>5.7820807265510121E-4</v>
      </c>
    </row>
    <row r="233" spans="1:6">
      <c r="A233" t="s">
        <v>218</v>
      </c>
      <c r="B233">
        <v>15</v>
      </c>
      <c r="C233">
        <v>1.5379112E-2</v>
      </c>
      <c r="D233">
        <f t="shared" si="55"/>
        <v>2.8078027515996149E-5</v>
      </c>
      <c r="E233">
        <f t="shared" si="56"/>
        <v>4.2117041273994222E-4</v>
      </c>
    </row>
    <row r="234" spans="1:6">
      <c r="A234" t="s">
        <v>219</v>
      </c>
      <c r="B234">
        <v>8</v>
      </c>
      <c r="C234">
        <v>1.6777216000000001E-2</v>
      </c>
      <c r="D234">
        <f t="shared" si="55"/>
        <v>4.4849466114255358E-5</v>
      </c>
      <c r="E234">
        <f t="shared" si="56"/>
        <v>3.5879572891404286E-4</v>
      </c>
    </row>
    <row r="235" spans="1:6">
      <c r="A235" t="s">
        <v>220</v>
      </c>
      <c r="B235">
        <v>8</v>
      </c>
      <c r="C235">
        <v>2.2369620999999999E-2</v>
      </c>
      <c r="D235">
        <f t="shared" si="55"/>
        <v>1.510288460371443E-4</v>
      </c>
      <c r="E235">
        <f t="shared" si="56"/>
        <v>1.2082307682971544E-3</v>
      </c>
    </row>
    <row r="236" spans="1:6">
      <c r="A236" t="s">
        <v>221</v>
      </c>
      <c r="B236">
        <v>3</v>
      </c>
      <c r="C236">
        <v>2.7962026000000001E-2</v>
      </c>
      <c r="D236">
        <f t="shared" si="55"/>
        <v>3.1975821332808334E-4</v>
      </c>
      <c r="E236">
        <f t="shared" si="56"/>
        <v>9.5927463998425003E-4</v>
      </c>
    </row>
    <row r="237" spans="1:6">
      <c r="A237" t="s">
        <v>222</v>
      </c>
      <c r="B237">
        <v>1</v>
      </c>
      <c r="C237">
        <v>3.3554431000000003E-2</v>
      </c>
      <c r="D237">
        <f t="shared" si="55"/>
        <v>5.510375679870724E-4</v>
      </c>
      <c r="E237">
        <f t="shared" si="56"/>
        <v>5.510375679870724E-4</v>
      </c>
    </row>
    <row r="238" spans="1:6">
      <c r="A238" t="s">
        <v>223</v>
      </c>
      <c r="B238">
        <v>1</v>
      </c>
      <c r="C238">
        <v>5.0331646000000001E-2</v>
      </c>
      <c r="D238">
        <f t="shared" si="55"/>
        <v>1.620175556172339E-3</v>
      </c>
      <c r="E238">
        <f t="shared" si="56"/>
        <v>1.620175556172339E-3</v>
      </c>
    </row>
    <row r="239" spans="1:6">
      <c r="C239">
        <f>Sheet2!P5</f>
        <v>1.0080241600000001E-2</v>
      </c>
    </row>
    <row r="241" spans="1:6">
      <c r="A241" t="s">
        <v>224</v>
      </c>
      <c r="B241">
        <v>644</v>
      </c>
      <c r="C241">
        <v>8.9478484999999996E-2</v>
      </c>
      <c r="D241">
        <f>ABS(C$249-C241)*ABS(C$249-C241)</f>
        <v>2.0913993605124082E-7</v>
      </c>
      <c r="E241">
        <f t="shared" ref="E241" si="57">D241*B241</f>
        <v>1.3468611881699909E-4</v>
      </c>
      <c r="F241">
        <f>SQRT(SUM(E241:E248)/1000)</f>
        <v>2.0087193554670625E-2</v>
      </c>
    </row>
    <row r="242" spans="1:6">
      <c r="A242" t="s">
        <v>225</v>
      </c>
      <c r="B242">
        <f>951-644</f>
        <v>307</v>
      </c>
      <c r="C242">
        <v>0.111848106</v>
      </c>
      <c r="D242">
        <f t="shared" ref="D242:D248" si="58">ABS(C$249-C242)*ABS(C$249-C242)</f>
        <v>4.8014901399888807E-4</v>
      </c>
      <c r="E242">
        <f t="shared" ref="E242:E248" si="59">D242*B242</f>
        <v>0.14740574729765862</v>
      </c>
    </row>
    <row r="243" spans="1:6">
      <c r="A243" t="s">
        <v>226</v>
      </c>
      <c r="B243">
        <f>985-951</f>
        <v>34</v>
      </c>
      <c r="C243">
        <v>0.13421772700000001</v>
      </c>
      <c r="D243">
        <f t="shared" si="58"/>
        <v>1.9608887754290075E-3</v>
      </c>
      <c r="E243">
        <f t="shared" si="59"/>
        <v>6.6670218364586253E-2</v>
      </c>
    </row>
    <row r="244" spans="1:6">
      <c r="A244" t="s">
        <v>227</v>
      </c>
      <c r="B244">
        <v>8</v>
      </c>
      <c r="C244">
        <v>0.15658734799999999</v>
      </c>
      <c r="D244">
        <f t="shared" si="58"/>
        <v>4.4424284242264057E-3</v>
      </c>
      <c r="E244">
        <f t="shared" si="59"/>
        <v>3.5539427393811246E-2</v>
      </c>
    </row>
    <row r="245" spans="1:6">
      <c r="A245" t="s">
        <v>228</v>
      </c>
      <c r="B245">
        <v>1</v>
      </c>
      <c r="C245">
        <v>0.17895696899999999</v>
      </c>
      <c r="D245">
        <f t="shared" si="58"/>
        <v>7.9247679603910888E-3</v>
      </c>
      <c r="E245">
        <f t="shared" si="59"/>
        <v>7.9247679603910888E-3</v>
      </c>
    </row>
    <row r="246" spans="1:6">
      <c r="A246" t="s">
        <v>229</v>
      </c>
      <c r="B246">
        <v>4</v>
      </c>
      <c r="C246">
        <v>0.20132659</v>
      </c>
      <c r="D246">
        <f t="shared" si="58"/>
        <v>1.2407907383923054E-2</v>
      </c>
      <c r="E246">
        <f t="shared" si="59"/>
        <v>4.9631629535692216E-2</v>
      </c>
    </row>
    <row r="247" spans="1:6">
      <c r="A247" t="s">
        <v>230</v>
      </c>
      <c r="B247">
        <v>1</v>
      </c>
      <c r="C247">
        <v>0.24606583200000001</v>
      </c>
      <c r="D247">
        <f t="shared" si="58"/>
        <v>2.4376585893088835E-2</v>
      </c>
      <c r="E247">
        <f t="shared" si="59"/>
        <v>2.4376585893088835E-2</v>
      </c>
    </row>
    <row r="248" spans="1:6">
      <c r="A248" t="s">
        <v>231</v>
      </c>
      <c r="B248">
        <v>1</v>
      </c>
      <c r="C248">
        <v>0.35791394100000001</v>
      </c>
      <c r="D248">
        <f t="shared" si="58"/>
        <v>7.1812282338755792E-2</v>
      </c>
      <c r="E248">
        <f t="shared" si="59"/>
        <v>7.1812282338755792E-2</v>
      </c>
    </row>
    <row r="249" spans="1:6">
      <c r="C249">
        <f>Sheet2!AH5</f>
        <v>8.9935803199999997E-2</v>
      </c>
    </row>
    <row r="251" spans="1:6">
      <c r="A251" t="s">
        <v>232</v>
      </c>
      <c r="B251">
        <v>185</v>
      </c>
      <c r="C251">
        <v>5.0331646000000001E-2</v>
      </c>
      <c r="D251">
        <f>ABS(C$259-C251)*ABS(C$259-C251)</f>
        <v>4.1764291415888018E-5</v>
      </c>
      <c r="E251">
        <f t="shared" ref="E251" si="60">D251*B251</f>
        <v>7.7263939119392834E-3</v>
      </c>
      <c r="F251">
        <f>SQRT(SUM(E251:E258)/1000)</f>
        <v>1.4391909841543897E-2</v>
      </c>
    </row>
    <row r="252" spans="1:6">
      <c r="A252" t="s">
        <v>233</v>
      </c>
      <c r="B252">
        <f>666-185</f>
        <v>481</v>
      </c>
      <c r="C252">
        <v>5.5924051000000002E-2</v>
      </c>
      <c r="D252">
        <f t="shared" ref="D252:D258" si="61">ABS(C$259-C252)*ABS(C$259-C252)</f>
        <v>7.571171675750343E-7</v>
      </c>
      <c r="E252">
        <f t="shared" ref="E252:E258" si="62">D252*B252</f>
        <v>3.6417335760359151E-4</v>
      </c>
    </row>
    <row r="253" spans="1:6">
      <c r="A253" t="s">
        <v>234</v>
      </c>
      <c r="B253">
        <f>811-666</f>
        <v>145</v>
      </c>
      <c r="C253">
        <v>6.1516455999999997E-2</v>
      </c>
      <c r="D253">
        <f t="shared" si="61"/>
        <v>2.2299930287312022E-5</v>
      </c>
      <c r="E253">
        <f t="shared" si="62"/>
        <v>3.2334898916602435E-3</v>
      </c>
    </row>
    <row r="254" spans="1:6">
      <c r="A254" t="s">
        <v>235</v>
      </c>
      <c r="B254">
        <f>890-811</f>
        <v>79</v>
      </c>
      <c r="C254">
        <v>6.7108864000000004E-2</v>
      </c>
      <c r="D254">
        <f t="shared" si="61"/>
        <v>1.0639279266321934E-4</v>
      </c>
      <c r="E254">
        <f t="shared" si="62"/>
        <v>8.4050306203943288E-3</v>
      </c>
    </row>
    <row r="255" spans="1:6">
      <c r="A255" t="s">
        <v>236</v>
      </c>
      <c r="B255">
        <f>88</f>
        <v>88</v>
      </c>
      <c r="C255">
        <v>8.9478484999999996E-2</v>
      </c>
      <c r="D255">
        <f t="shared" si="61"/>
        <v>1.0682640678812045E-3</v>
      </c>
      <c r="E255">
        <f t="shared" si="62"/>
        <v>9.4007237973546001E-2</v>
      </c>
    </row>
    <row r="256" spans="1:6">
      <c r="A256" t="s">
        <v>237</v>
      </c>
      <c r="B256">
        <f>994-978</f>
        <v>16</v>
      </c>
      <c r="C256">
        <v>0.111848106</v>
      </c>
      <c r="D256">
        <f t="shared" si="61"/>
        <v>3.0309352304664725E-3</v>
      </c>
      <c r="E256">
        <f t="shared" si="62"/>
        <v>4.849496368746356E-2</v>
      </c>
    </row>
    <row r="257" spans="1:6">
      <c r="A257" t="s">
        <v>238</v>
      </c>
      <c r="B257">
        <v>5</v>
      </c>
      <c r="C257">
        <v>0.13421772700000001</v>
      </c>
      <c r="D257">
        <f t="shared" si="61"/>
        <v>5.9944062804190229E-3</v>
      </c>
      <c r="E257">
        <f t="shared" si="62"/>
        <v>2.9972031402095114E-2</v>
      </c>
    </row>
    <row r="258" spans="1:6">
      <c r="A258" t="s">
        <v>239</v>
      </c>
      <c r="B258">
        <v>1</v>
      </c>
      <c r="C258">
        <v>0.17895696899999999</v>
      </c>
      <c r="D258">
        <f t="shared" si="61"/>
        <v>1.4923748042425964E-2</v>
      </c>
      <c r="E258">
        <f t="shared" si="62"/>
        <v>1.4923748042425964E-2</v>
      </c>
    </row>
    <row r="259" spans="1:6">
      <c r="C259">
        <f>Sheet2!B5</f>
        <v>5.6794175799999999E-2</v>
      </c>
    </row>
    <row r="261" spans="1:6">
      <c r="A261" t="s">
        <v>240</v>
      </c>
      <c r="B261">
        <v>641</v>
      </c>
      <c r="C261">
        <v>6.9905059999999996E-3</v>
      </c>
      <c r="D261">
        <f>ABS(C$270-C261)*ABS(C$270-C261)</f>
        <v>3.6682400202250238E-8</v>
      </c>
      <c r="E261">
        <f t="shared" ref="E261" si="63">D261*B261</f>
        <v>2.3513418529642404E-5</v>
      </c>
      <c r="F261">
        <f>SQRT(SUM(E261:E269)/1000)</f>
        <v>1.5117339461444594E-3</v>
      </c>
    </row>
    <row r="262" spans="1:6">
      <c r="A262" t="s">
        <v>241</v>
      </c>
      <c r="B262">
        <f>884-641</f>
        <v>243</v>
      </c>
      <c r="C262">
        <v>8.3886069999999993E-3</v>
      </c>
      <c r="D262">
        <f t="shared" ref="D262:D269" si="64">ABS(C$270-C262)*ABS(C$270-C262)</f>
        <v>1.4558220240502476E-6</v>
      </c>
      <c r="E262">
        <f t="shared" ref="E262:E269" si="65">D262*B262</f>
        <v>3.5376475184421016E-4</v>
      </c>
    </row>
    <row r="263" spans="1:6">
      <c r="A263" t="s">
        <v>242</v>
      </c>
      <c r="B263">
        <f>957-884</f>
        <v>73</v>
      </c>
      <c r="C263">
        <v>9.7867079999999999E-3</v>
      </c>
      <c r="D263">
        <f t="shared" si="64"/>
        <v>6.7843344603002483E-6</v>
      </c>
      <c r="E263">
        <f t="shared" si="65"/>
        <v>4.9525641560191813E-4</v>
      </c>
    </row>
    <row r="264" spans="1:6">
      <c r="A264" t="s">
        <v>243</v>
      </c>
      <c r="B264">
        <f>984-957</f>
        <v>27</v>
      </c>
      <c r="C264">
        <v>1.1184809E-2</v>
      </c>
      <c r="D264">
        <f t="shared" si="64"/>
        <v>1.6022219708952251E-5</v>
      </c>
      <c r="E264">
        <f t="shared" si="65"/>
        <v>4.3259993214171075E-4</v>
      </c>
    </row>
    <row r="265" spans="1:6">
      <c r="A265" t="s">
        <v>244</v>
      </c>
      <c r="B265">
        <f>990-984</f>
        <v>6</v>
      </c>
      <c r="C265">
        <v>1.2582909999999999E-2</v>
      </c>
      <c r="D265">
        <f t="shared" si="64"/>
        <v>2.9169477770006241E-5</v>
      </c>
      <c r="E265">
        <f t="shared" si="65"/>
        <v>1.7501686662003746E-4</v>
      </c>
    </row>
    <row r="266" spans="1:6">
      <c r="A266" t="s">
        <v>245</v>
      </c>
      <c r="B266">
        <v>5</v>
      </c>
      <c r="C266">
        <v>1.3981011E-2</v>
      </c>
      <c r="D266">
        <f t="shared" si="64"/>
        <v>4.6226108643462242E-5</v>
      </c>
      <c r="E266">
        <f t="shared" si="65"/>
        <v>2.3113054321731121E-4</v>
      </c>
    </row>
    <row r="267" spans="1:6">
      <c r="A267" t="s">
        <v>246</v>
      </c>
      <c r="B267">
        <v>1</v>
      </c>
      <c r="C267">
        <v>1.5379112E-2</v>
      </c>
      <c r="D267">
        <f t="shared" si="64"/>
        <v>6.7192112329320233E-5</v>
      </c>
      <c r="E267">
        <f t="shared" si="65"/>
        <v>6.7192112329320233E-5</v>
      </c>
    </row>
    <row r="268" spans="1:6">
      <c r="A268" t="s">
        <v>247</v>
      </c>
      <c r="B268">
        <v>3</v>
      </c>
      <c r="C268">
        <v>1.6777216000000001E-2</v>
      </c>
      <c r="D268">
        <f t="shared" si="64"/>
        <v>9.206754639867225E-5</v>
      </c>
      <c r="E268">
        <f t="shared" si="65"/>
        <v>2.7620263919601678E-4</v>
      </c>
    </row>
    <row r="269" spans="1:6">
      <c r="A269" t="s">
        <v>248</v>
      </c>
      <c r="B269">
        <v>1</v>
      </c>
      <c r="C269">
        <v>2.2369620999999999E-2</v>
      </c>
      <c r="D269">
        <f t="shared" si="64"/>
        <v>2.306628444453322E-4</v>
      </c>
      <c r="E269">
        <f t="shared" si="65"/>
        <v>2.306628444453322E-4</v>
      </c>
    </row>
    <row r="270" spans="1:6">
      <c r="C270">
        <f>Sheet2!R5</f>
        <v>7.1820325000000003E-3</v>
      </c>
    </row>
    <row r="272" spans="1:6">
      <c r="A272" t="s">
        <v>249</v>
      </c>
      <c r="B272">
        <v>784</v>
      </c>
      <c r="C272">
        <v>5.5924049999999999E-3</v>
      </c>
      <c r="D272">
        <f>ABS(C$282-C272)*ABS(C$282-C272)</f>
        <v>9.609361410608994E-8</v>
      </c>
      <c r="E272">
        <f t="shared" ref="E272" si="66">D272*B272</f>
        <v>7.5337393459174517E-5</v>
      </c>
      <c r="F272">
        <f>SQRT(SUM(E272:E281)/1000)</f>
        <v>1.8396456078077408E-3</v>
      </c>
    </row>
    <row r="273" spans="1:6">
      <c r="A273" t="s">
        <v>250</v>
      </c>
      <c r="B273">
        <f>947-784</f>
        <v>163</v>
      </c>
      <c r="C273">
        <v>6.9905059999999996E-3</v>
      </c>
      <c r="D273">
        <f t="shared" ref="D273:D281" si="67">ABS(C$282-C273)*ABS(C$282-C273)</f>
        <v>2.9175738394264886E-6</v>
      </c>
      <c r="E273">
        <f t="shared" ref="E273:E281" si="68">D273*B273</f>
        <v>4.7556453582651764E-4</v>
      </c>
    </row>
    <row r="274" spans="1:6">
      <c r="A274" t="s">
        <v>251</v>
      </c>
      <c r="B274">
        <f>979-947</f>
        <v>32</v>
      </c>
      <c r="C274">
        <v>8.3886069999999993E-3</v>
      </c>
      <c r="D274">
        <f t="shared" si="67"/>
        <v>9.6484268771488853E-6</v>
      </c>
      <c r="E274">
        <f t="shared" si="68"/>
        <v>3.0874966006876433E-4</v>
      </c>
    </row>
    <row r="275" spans="1:6">
      <c r="A275" t="s">
        <v>252</v>
      </c>
      <c r="B275">
        <f>988-979</f>
        <v>9</v>
      </c>
      <c r="C275">
        <v>9.7867079999999999E-3</v>
      </c>
      <c r="D275">
        <f t="shared" si="67"/>
        <v>2.028865272727329E-5</v>
      </c>
      <c r="E275">
        <f t="shared" si="68"/>
        <v>1.825978745454596E-4</v>
      </c>
    </row>
    <row r="276" spans="1:6">
      <c r="A276" t="s">
        <v>253</v>
      </c>
      <c r="B276">
        <f>994-988</f>
        <v>6</v>
      </c>
      <c r="C276">
        <v>1.1184809E-2</v>
      </c>
      <c r="D276">
        <f t="shared" si="67"/>
        <v>3.4838251389799698E-5</v>
      </c>
      <c r="E276">
        <f t="shared" si="68"/>
        <v>2.090295083387982E-4</v>
      </c>
    </row>
    <row r="277" spans="1:6">
      <c r="A277" t="s">
        <v>254</v>
      </c>
      <c r="B277">
        <v>2</v>
      </c>
      <c r="C277">
        <v>1.2582909999999999E-2</v>
      </c>
      <c r="D277">
        <f t="shared" si="67"/>
        <v>5.3297222864728078E-5</v>
      </c>
      <c r="E277">
        <f t="shared" si="68"/>
        <v>1.0659444572945616E-4</v>
      </c>
    </row>
    <row r="278" spans="1:6">
      <c r="A278" t="s">
        <v>255</v>
      </c>
      <c r="B278">
        <v>1</v>
      </c>
      <c r="C278">
        <v>1.3981011E-2</v>
      </c>
      <c r="D278">
        <f t="shared" si="67"/>
        <v>7.5665567152058473E-5</v>
      </c>
      <c r="E278">
        <f t="shared" si="68"/>
        <v>7.5665567152058473E-5</v>
      </c>
    </row>
    <row r="279" spans="1:6">
      <c r="A279" t="s">
        <v>256</v>
      </c>
      <c r="B279">
        <v>1</v>
      </c>
      <c r="C279">
        <v>1.5379112E-2</v>
      </c>
      <c r="D279">
        <f t="shared" si="67"/>
        <v>1.0194328425179091E-4</v>
      </c>
      <c r="E279">
        <f t="shared" si="68"/>
        <v>1.0194328425179091E-4</v>
      </c>
    </row>
    <row r="280" spans="1:6">
      <c r="A280" t="s">
        <v>257</v>
      </c>
      <c r="B280">
        <v>1</v>
      </c>
      <c r="C280">
        <v>2.2369620999999999E-2</v>
      </c>
      <c r="D280">
        <f t="shared" si="67"/>
        <v>2.9197259863411248E-4</v>
      </c>
      <c r="E280">
        <f t="shared" si="68"/>
        <v>2.9197259863411248E-4</v>
      </c>
    </row>
    <row r="281" spans="1:6">
      <c r="A281" t="s">
        <v>258</v>
      </c>
      <c r="B281">
        <v>1</v>
      </c>
      <c r="C281">
        <v>4.4739240999999999E-2</v>
      </c>
      <c r="D281">
        <f t="shared" si="67"/>
        <v>1.5568410943201801E-3</v>
      </c>
      <c r="E281">
        <f t="shared" si="68"/>
        <v>1.5568410943201801E-3</v>
      </c>
    </row>
    <row r="282" spans="1:6">
      <c r="C282">
        <f>Sheet2!AG5</f>
        <v>5.2824153E-3</v>
      </c>
    </row>
    <row r="284" spans="1:6">
      <c r="A284" t="s">
        <v>259</v>
      </c>
      <c r="B284">
        <v>608</v>
      </c>
      <c r="C284">
        <v>3.9146835999999997E-2</v>
      </c>
      <c r="D284">
        <f>ABS(C$292-C284)*ABS(C$292-C284)</f>
        <v>3.058615532544041E-6</v>
      </c>
      <c r="E284">
        <f t="shared" ref="E284" si="69">D284*B284</f>
        <v>1.8596382437867771E-3</v>
      </c>
      <c r="F284">
        <f>SQRT(SUM(E284:E291)/1000)</f>
        <v>8.7871921853844362E-3</v>
      </c>
    </row>
    <row r="285" spans="1:6">
      <c r="A285" t="s">
        <v>260</v>
      </c>
      <c r="B285">
        <f>850-608</f>
        <v>242</v>
      </c>
      <c r="C285">
        <v>4.4739240999999999E-2</v>
      </c>
      <c r="D285">
        <f t="shared" ref="D285:D291" si="70">ABS(C$292-C285)*ABS(C$292-C285)</f>
        <v>1.4772609092631052E-5</v>
      </c>
      <c r="E285">
        <f t="shared" ref="E285:E291" si="71">D285*B285</f>
        <v>3.5749714004167147E-3</v>
      </c>
    </row>
    <row r="286" spans="1:6">
      <c r="A286" t="s">
        <v>261</v>
      </c>
      <c r="B286">
        <f>920-850</f>
        <v>70</v>
      </c>
      <c r="C286">
        <v>5.0331646000000001E-2</v>
      </c>
      <c r="D286">
        <f t="shared" si="70"/>
        <v>8.9036590020768103E-5</v>
      </c>
      <c r="E286">
        <f t="shared" si="71"/>
        <v>6.2325613014537675E-3</v>
      </c>
    </row>
    <row r="287" spans="1:6">
      <c r="A287" t="s">
        <v>262</v>
      </c>
      <c r="B287">
        <v>32</v>
      </c>
      <c r="C287">
        <v>5.5924051000000002E-2</v>
      </c>
      <c r="D287">
        <f t="shared" si="70"/>
        <v>2.2585055831695518E-4</v>
      </c>
      <c r="E287">
        <f t="shared" si="71"/>
        <v>7.2272178661425658E-3</v>
      </c>
    </row>
    <row r="288" spans="1:6">
      <c r="A288" t="s">
        <v>263</v>
      </c>
      <c r="B288">
        <v>26</v>
      </c>
      <c r="C288">
        <v>6.1516455999999997E-2</v>
      </c>
      <c r="D288">
        <f t="shared" si="70"/>
        <v>4.2521451398119201E-4</v>
      </c>
      <c r="E288">
        <f t="shared" si="71"/>
        <v>1.1055577363510993E-2</v>
      </c>
    </row>
    <row r="289" spans="1:6">
      <c r="A289" t="s">
        <v>264</v>
      </c>
      <c r="B289">
        <v>12</v>
      </c>
      <c r="C289">
        <v>6.7108864000000004E-2</v>
      </c>
      <c r="D289">
        <f t="shared" si="70"/>
        <v>6.871286142922996E-4</v>
      </c>
      <c r="E289">
        <f t="shared" si="71"/>
        <v>8.2455433715075948E-3</v>
      </c>
    </row>
    <row r="290" spans="1:6">
      <c r="A290" t="s">
        <v>265</v>
      </c>
      <c r="B290">
        <v>8</v>
      </c>
      <c r="C290">
        <v>8.9478484999999996E-2</v>
      </c>
      <c r="D290">
        <f t="shared" si="70"/>
        <v>2.3602844914851844E-3</v>
      </c>
      <c r="E290">
        <f t="shared" si="71"/>
        <v>1.8882275931881475E-2</v>
      </c>
    </row>
    <row r="291" spans="1:6">
      <c r="A291" t="s">
        <v>266</v>
      </c>
      <c r="B291">
        <v>4</v>
      </c>
      <c r="C291">
        <v>0.111848106</v>
      </c>
      <c r="D291">
        <f t="shared" si="70"/>
        <v>5.0342402560453522E-3</v>
      </c>
      <c r="E291">
        <f t="shared" si="71"/>
        <v>2.0136961024181409E-2</v>
      </c>
    </row>
    <row r="292" spans="1:6">
      <c r="C292">
        <f>Sheet2!AK5</f>
        <v>4.0895725799999998E-2</v>
      </c>
    </row>
    <row r="294" spans="1:6">
      <c r="A294" t="s">
        <v>267</v>
      </c>
      <c r="B294">
        <v>717</v>
      </c>
      <c r="C294">
        <v>2.2369620999999999E-2</v>
      </c>
      <c r="D294">
        <f>ABS(C$303-C294)*ABS(C$303-C294)</f>
        <v>3.5515927774889614E-8</v>
      </c>
      <c r="E294">
        <f t="shared" ref="E294" si="72">D294*B294</f>
        <v>2.5464920214595854E-5</v>
      </c>
      <c r="F294">
        <f>SQRT(SUM(E294:E302)/1000)</f>
        <v>6.7625490161826824E-3</v>
      </c>
    </row>
    <row r="295" spans="1:6">
      <c r="A295" t="s">
        <v>268</v>
      </c>
      <c r="B295">
        <v>183</v>
      </c>
      <c r="C295">
        <v>2.7962026000000001E-2</v>
      </c>
      <c r="D295">
        <f t="shared" ref="D295:D302" si="73">ABS(C$303-C295)*ABS(C$303-C295)</f>
        <v>2.9202657229072918E-5</v>
      </c>
      <c r="E295">
        <f t="shared" ref="E295:E302" si="74">D295*B295</f>
        <v>5.3440862729203439E-3</v>
      </c>
    </row>
    <row r="296" spans="1:6">
      <c r="A296" t="s">
        <v>269</v>
      </c>
      <c r="B296">
        <v>59</v>
      </c>
      <c r="C296">
        <v>3.3554431000000003E-2</v>
      </c>
      <c r="D296">
        <f t="shared" si="73"/>
        <v>1.2091978589842099E-4</v>
      </c>
      <c r="E296">
        <f t="shared" si="74"/>
        <v>7.1342673680068382E-3</v>
      </c>
    </row>
    <row r="297" spans="1:6">
      <c r="A297" t="s">
        <v>270</v>
      </c>
      <c r="B297">
        <f>982-959</f>
        <v>23</v>
      </c>
      <c r="C297">
        <v>3.9146835999999997E-2</v>
      </c>
      <c r="D297">
        <f t="shared" si="73"/>
        <v>2.7518690193581885E-4</v>
      </c>
      <c r="E297">
        <f t="shared" si="74"/>
        <v>6.3292987445238338E-3</v>
      </c>
    </row>
    <row r="298" spans="1:6">
      <c r="A298" t="s">
        <v>271</v>
      </c>
      <c r="B298">
        <v>11</v>
      </c>
      <c r="C298">
        <v>4.4739240999999999E-2</v>
      </c>
      <c r="D298">
        <f t="shared" si="73"/>
        <v>4.9200400534126691E-4</v>
      </c>
      <c r="E298">
        <f t="shared" si="74"/>
        <v>5.4120440587539361E-3</v>
      </c>
    </row>
    <row r="299" spans="1:6">
      <c r="A299" t="s">
        <v>272</v>
      </c>
      <c r="B299">
        <v>3</v>
      </c>
      <c r="C299">
        <v>5.0331646000000001E-2</v>
      </c>
      <c r="D299">
        <f t="shared" si="73"/>
        <v>7.7137109611476499E-4</v>
      </c>
      <c r="E299">
        <f t="shared" si="74"/>
        <v>2.3141132883442951E-3</v>
      </c>
    </row>
    <row r="300" spans="1:6">
      <c r="A300" t="s">
        <v>273</v>
      </c>
      <c r="B300">
        <v>2</v>
      </c>
      <c r="C300">
        <v>5.5924051000000002E-2</v>
      </c>
      <c r="D300">
        <f t="shared" si="73"/>
        <v>1.1132881742563132E-3</v>
      </c>
      <c r="E300">
        <f t="shared" si="74"/>
        <v>2.2265763485126264E-3</v>
      </c>
    </row>
    <row r="301" spans="1:6">
      <c r="A301" t="s">
        <v>274</v>
      </c>
      <c r="B301">
        <v>1</v>
      </c>
      <c r="C301">
        <v>8.9478484999999996E-2</v>
      </c>
      <c r="D301">
        <f t="shared" si="73"/>
        <v>4.4783409131978931E-3</v>
      </c>
      <c r="E301">
        <f t="shared" si="74"/>
        <v>4.4783409131978931E-3</v>
      </c>
    </row>
    <row r="302" spans="1:6">
      <c r="A302" t="s">
        <v>275</v>
      </c>
      <c r="B302">
        <v>1</v>
      </c>
      <c r="C302">
        <v>0.13421772700000001</v>
      </c>
      <c r="D302">
        <f t="shared" si="73"/>
        <v>1.2467877281798993E-2</v>
      </c>
      <c r="E302">
        <f t="shared" si="74"/>
        <v>1.2467877281798993E-2</v>
      </c>
    </row>
    <row r="303" spans="1:6">
      <c r="C303">
        <f>Sheet2!W5</f>
        <v>2.2558077699999998E-2</v>
      </c>
    </row>
    <row r="305" spans="1:6">
      <c r="A305" t="s">
        <v>276</v>
      </c>
      <c r="B305">
        <v>2</v>
      </c>
      <c r="C305">
        <v>0.13421772700000001</v>
      </c>
      <c r="D305">
        <f>ABS(C$315-C305)*ABS(C$315-C305)</f>
        <v>7.6032225536021129E-4</v>
      </c>
      <c r="E305">
        <f t="shared" ref="E305" si="75">D305*B305</f>
        <v>1.5206445107204226E-3</v>
      </c>
      <c r="F305">
        <f>SQRT(SUM(E305:E314)/1000)</f>
        <v>3.4671739875920086E-2</v>
      </c>
    </row>
    <row r="306" spans="1:6">
      <c r="A306" t="s">
        <v>277</v>
      </c>
      <c r="B306">
        <v>555</v>
      </c>
      <c r="C306">
        <v>0.15658734799999999</v>
      </c>
      <c r="D306">
        <f t="shared" ref="D306:D314" si="76">ABS(C$315-C306)*ABS(C$315-C306)</f>
        <v>2.7084952907584715E-5</v>
      </c>
      <c r="E306">
        <f t="shared" ref="E306:E314" si="77">D306*B306</f>
        <v>1.5032148863709517E-2</v>
      </c>
    </row>
    <row r="307" spans="1:6">
      <c r="A307" t="s">
        <v>278</v>
      </c>
      <c r="B307">
        <v>300</v>
      </c>
      <c r="C307">
        <v>0.17895696899999999</v>
      </c>
      <c r="D307">
        <f t="shared" si="76"/>
        <v>2.946475378222392E-4</v>
      </c>
      <c r="E307">
        <f t="shared" si="77"/>
        <v>8.8394261346671762E-2</v>
      </c>
    </row>
    <row r="308" spans="1:6">
      <c r="A308" t="s">
        <v>279</v>
      </c>
      <c r="B308">
        <v>95</v>
      </c>
      <c r="C308">
        <v>0.20132659</v>
      </c>
      <c r="D308">
        <f t="shared" si="76"/>
        <v>1.5630100101041763E-3</v>
      </c>
      <c r="E308">
        <f t="shared" si="77"/>
        <v>0.14848595095989675</v>
      </c>
    </row>
    <row r="309" spans="1:6">
      <c r="A309" t="s">
        <v>280</v>
      </c>
      <c r="B309">
        <v>23</v>
      </c>
      <c r="C309">
        <v>0.22369621100000001</v>
      </c>
      <c r="D309">
        <f t="shared" si="76"/>
        <v>3.8321723697533959E-3</v>
      </c>
      <c r="E309">
        <f t="shared" si="77"/>
        <v>8.8139964504328108E-2</v>
      </c>
    </row>
    <row r="310" spans="1:6">
      <c r="A310" t="s">
        <v>281</v>
      </c>
      <c r="B310">
        <v>13</v>
      </c>
      <c r="C310">
        <v>0.24606583200000001</v>
      </c>
      <c r="D310">
        <f t="shared" si="76"/>
        <v>7.1021346167698977E-3</v>
      </c>
      <c r="E310">
        <f t="shared" si="77"/>
        <v>9.2327750018008664E-2</v>
      </c>
    </row>
    <row r="311" spans="1:6">
      <c r="A311" t="s">
        <v>282</v>
      </c>
      <c r="B311">
        <v>1</v>
      </c>
      <c r="C311">
        <v>0.26843545600000002</v>
      </c>
      <c r="D311">
        <f t="shared" si="76"/>
        <v>1.1372897391016398E-2</v>
      </c>
      <c r="E311">
        <f t="shared" si="77"/>
        <v>1.1372897391016398E-2</v>
      </c>
    </row>
    <row r="312" spans="1:6">
      <c r="A312" t="s">
        <v>283</v>
      </c>
      <c r="B312">
        <v>6</v>
      </c>
      <c r="C312">
        <v>0.35791394100000001</v>
      </c>
      <c r="D312">
        <f t="shared" si="76"/>
        <v>3.8463945731339801E-2</v>
      </c>
      <c r="E312">
        <f t="shared" si="77"/>
        <v>0.23078367438803882</v>
      </c>
    </row>
    <row r="313" spans="1:6">
      <c r="A313" t="s">
        <v>284</v>
      </c>
      <c r="B313">
        <v>3</v>
      </c>
      <c r="C313">
        <v>0.44739242600000001</v>
      </c>
      <c r="D313">
        <f t="shared" si="76"/>
        <v>8.1567792627453659E-2</v>
      </c>
      <c r="E313">
        <f t="shared" si="77"/>
        <v>0.24470337788236096</v>
      </c>
    </row>
    <row r="314" spans="1:6">
      <c r="A314" t="s">
        <v>285</v>
      </c>
      <c r="B314">
        <v>2</v>
      </c>
      <c r="C314">
        <v>0.53687091099999995</v>
      </c>
      <c r="D314">
        <f t="shared" si="76"/>
        <v>0.14068443807935788</v>
      </c>
      <c r="E314">
        <f t="shared" si="77"/>
        <v>0.28136887615871575</v>
      </c>
    </row>
    <row r="315" spans="1:6">
      <c r="C315">
        <f>Sheet2!AI5</f>
        <v>0.16179166860000002</v>
      </c>
    </row>
    <row r="317" spans="1:6">
      <c r="A317" t="s">
        <v>286</v>
      </c>
      <c r="B317">
        <v>314</v>
      </c>
      <c r="C317">
        <v>0.22369621100000001</v>
      </c>
      <c r="D317">
        <f>ABS(C$325-C317)*ABS(C$325-C317)</f>
        <v>2.5715563726132846E-4</v>
      </c>
      <c r="E317">
        <f t="shared" ref="E317" si="78">D317*B317</f>
        <v>8.0746870100057141E-2</v>
      </c>
      <c r="F317">
        <f>SQRT(SUM(E317:E324)/1000)</f>
        <v>5.2087046393003184E-2</v>
      </c>
    </row>
    <row r="318" spans="1:6">
      <c r="A318" t="s">
        <v>287</v>
      </c>
      <c r="B318">
        <f>766-314</f>
        <v>452</v>
      </c>
      <c r="C318">
        <v>0.24606583200000001</v>
      </c>
      <c r="D318">
        <f t="shared" ref="D318:D324" si="79">ABS(C$325-C318)*ABS(C$325-C318)</f>
        <v>4.0113830268304284E-5</v>
      </c>
      <c r="E318">
        <f t="shared" ref="E318:E324" si="80">D318*B318</f>
        <v>1.8131451281273536E-2</v>
      </c>
    </row>
    <row r="319" spans="1:6">
      <c r="A319" t="s">
        <v>288</v>
      </c>
      <c r="B319">
        <v>144</v>
      </c>
      <c r="C319">
        <v>0.26843545600000002</v>
      </c>
      <c r="D319">
        <f t="shared" si="79"/>
        <v>8.2387208286158556E-4</v>
      </c>
      <c r="E319">
        <f t="shared" si="80"/>
        <v>0.11863757993206832</v>
      </c>
    </row>
    <row r="320" spans="1:6">
      <c r="A320" t="s">
        <v>289</v>
      </c>
      <c r="B320">
        <v>80</v>
      </c>
      <c r="C320">
        <v>0.35791394100000001</v>
      </c>
      <c r="D320">
        <f t="shared" si="79"/>
        <v>1.3966904051265654E-2</v>
      </c>
      <c r="E320">
        <f t="shared" si="80"/>
        <v>1.1173523241012524</v>
      </c>
    </row>
    <row r="321" spans="1:6">
      <c r="A321" t="s">
        <v>290</v>
      </c>
      <c r="B321">
        <v>13</v>
      </c>
      <c r="C321">
        <v>0.44739242600000001</v>
      </c>
      <c r="D321">
        <f t="shared" si="79"/>
        <v>4.3122734575460175E-2</v>
      </c>
      <c r="E321">
        <f t="shared" si="80"/>
        <v>0.56059554948098222</v>
      </c>
    </row>
    <row r="322" spans="1:6">
      <c r="A322" t="s">
        <v>291</v>
      </c>
      <c r="B322">
        <v>5</v>
      </c>
      <c r="C322">
        <v>0.53687091099999995</v>
      </c>
      <c r="D322">
        <f t="shared" si="79"/>
        <v>8.8291363655445085E-2</v>
      </c>
      <c r="E322">
        <f t="shared" si="80"/>
        <v>0.44145681827722544</v>
      </c>
    </row>
    <row r="323" spans="1:6">
      <c r="A323" t="s">
        <v>292</v>
      </c>
      <c r="B323">
        <v>1</v>
      </c>
      <c r="C323">
        <v>0.62634939599999995</v>
      </c>
      <c r="D323">
        <f t="shared" si="79"/>
        <v>0.14947279129122049</v>
      </c>
      <c r="E323">
        <f t="shared" si="80"/>
        <v>0.14947279129122049</v>
      </c>
    </row>
    <row r="324" spans="1:6">
      <c r="A324" t="s">
        <v>293</v>
      </c>
      <c r="B324">
        <v>1</v>
      </c>
      <c r="C324">
        <v>0.71582788100000005</v>
      </c>
      <c r="D324">
        <f t="shared" si="79"/>
        <v>0.22666701748278645</v>
      </c>
      <c r="E324">
        <f t="shared" si="80"/>
        <v>0.22666701748278645</v>
      </c>
    </row>
    <row r="325" spans="1:6">
      <c r="C325">
        <f>Sheet2!K5</f>
        <v>0.23973228399999999</v>
      </c>
    </row>
    <row r="327" spans="1:6">
      <c r="A327" t="s">
        <v>294</v>
      </c>
      <c r="B327">
        <v>39</v>
      </c>
      <c r="C327">
        <v>1.2582909999999999E-2</v>
      </c>
      <c r="D327">
        <f>ABS(C$337-C327)*ABS(C$337-C327)</f>
        <v>3.3836785766928375E-6</v>
      </c>
      <c r="E327">
        <f t="shared" ref="E327" si="81">D327*B327</f>
        <v>1.3196346449102065E-4</v>
      </c>
      <c r="F327">
        <f>SQRT(SUM(E327:E336)/1000)</f>
        <v>4.3575475678301829E-3</v>
      </c>
    </row>
    <row r="328" spans="1:6">
      <c r="A328" t="s">
        <v>295</v>
      </c>
      <c r="B328">
        <v>601</v>
      </c>
      <c r="C328">
        <v>1.3981011E-2</v>
      </c>
      <c r="D328">
        <f t="shared" ref="D328:D336" si="82">ABS(C$337-C328)*ABS(C$337-C328)</f>
        <v>1.9481347957823896E-7</v>
      </c>
      <c r="E328">
        <f t="shared" ref="E328:E336" si="83">D328*B328</f>
        <v>1.1708290122652161E-4</v>
      </c>
    </row>
    <row r="329" spans="1:6">
      <c r="A329" t="s">
        <v>296</v>
      </c>
      <c r="B329">
        <v>157</v>
      </c>
      <c r="C329">
        <v>1.5379112E-2</v>
      </c>
      <c r="D329">
        <f t="shared" si="82"/>
        <v>9.1532119486564338E-7</v>
      </c>
      <c r="E329">
        <f t="shared" si="83"/>
        <v>1.4370542759390602E-4</v>
      </c>
    </row>
    <row r="330" spans="1:6">
      <c r="A330" t="s">
        <v>297</v>
      </c>
      <c r="B330">
        <f>878-797</f>
        <v>81</v>
      </c>
      <c r="C330">
        <v>1.6777216000000001E-2</v>
      </c>
      <c r="D330">
        <f t="shared" si="82"/>
        <v>5.5452158515152517E-6</v>
      </c>
      <c r="E330">
        <f t="shared" si="83"/>
        <v>4.4916248397273539E-4</v>
      </c>
    </row>
    <row r="331" spans="1:6">
      <c r="A331" t="s">
        <v>298</v>
      </c>
      <c r="B331">
        <f>985-878</f>
        <v>107</v>
      </c>
      <c r="C331">
        <v>2.2369620999999999E-2</v>
      </c>
      <c r="D331">
        <f t="shared" si="82"/>
        <v>6.3158515535182246E-5</v>
      </c>
      <c r="E331">
        <f t="shared" si="83"/>
        <v>6.7579611622645003E-3</v>
      </c>
    </row>
    <row r="332" spans="1:6">
      <c r="A332" t="s">
        <v>299</v>
      </c>
      <c r="B332">
        <v>7</v>
      </c>
      <c r="C332">
        <v>2.7962026000000001E-2</v>
      </c>
      <c r="D332">
        <f t="shared" si="82"/>
        <v>1.833218025868993E-4</v>
      </c>
      <c r="E332">
        <f t="shared" si="83"/>
        <v>1.2832526181082952E-3</v>
      </c>
    </row>
    <row r="333" spans="1:6">
      <c r="A333" t="s">
        <v>300</v>
      </c>
      <c r="B333">
        <v>5</v>
      </c>
      <c r="C333">
        <v>3.3554431000000003E-2</v>
      </c>
      <c r="D333">
        <f t="shared" si="82"/>
        <v>3.6603507700666641E-4</v>
      </c>
      <c r="E333">
        <f t="shared" si="83"/>
        <v>1.8301753850333321E-3</v>
      </c>
    </row>
    <row r="334" spans="1:6">
      <c r="A334" t="s">
        <v>301</v>
      </c>
      <c r="B334">
        <v>1</v>
      </c>
      <c r="C334">
        <v>4.4739240999999999E-2</v>
      </c>
      <c r="D334">
        <f t="shared" si="82"/>
        <v>9.1911158795035031E-4</v>
      </c>
      <c r="E334">
        <f t="shared" si="83"/>
        <v>9.1911158795035031E-4</v>
      </c>
    </row>
    <row r="335" spans="1:6">
      <c r="A335" t="s">
        <v>302</v>
      </c>
      <c r="B335">
        <v>1</v>
      </c>
      <c r="C335">
        <v>5.5924051000000002E-2</v>
      </c>
      <c r="D335">
        <f t="shared" si="82"/>
        <v>1.7223880483662345E-3</v>
      </c>
      <c r="E335">
        <f t="shared" si="83"/>
        <v>1.7223880483662345E-3</v>
      </c>
    </row>
    <row r="336" spans="1:6">
      <c r="A336" t="s">
        <v>303</v>
      </c>
      <c r="B336">
        <v>1</v>
      </c>
      <c r="C336">
        <v>8.9478484999999996E-2</v>
      </c>
      <c r="D336">
        <f t="shared" si="82"/>
        <v>5.6334177268958481E-3</v>
      </c>
      <c r="E336">
        <f t="shared" si="83"/>
        <v>5.6334177268958481E-3</v>
      </c>
    </row>
    <row r="337" spans="1:6">
      <c r="C337">
        <f>Sheet2!AB5</f>
        <v>1.4422387799999999E-2</v>
      </c>
    </row>
    <row r="339" spans="1:6">
      <c r="A339" t="s">
        <v>304</v>
      </c>
      <c r="B339">
        <v>677</v>
      </c>
      <c r="C339">
        <v>1.747626E-3</v>
      </c>
      <c r="D339">
        <f>ABS(C$349-C339)*ABS(C$349-C339)</f>
        <v>2.8522818769000276E-10</v>
      </c>
      <c r="E339">
        <f t="shared" ref="E339" si="84">D339*B339</f>
        <v>1.9309948306613187E-7</v>
      </c>
      <c r="F339">
        <f>SQRT(SUM(E339:E348)/1000)</f>
        <v>5.1390256970553709E-4</v>
      </c>
    </row>
    <row r="340" spans="1:6">
      <c r="A340" t="s">
        <v>305</v>
      </c>
      <c r="B340">
        <f>895-677</f>
        <v>218</v>
      </c>
      <c r="C340">
        <v>2.0971509999999998E-3</v>
      </c>
      <c r="D340">
        <f t="shared" ref="D340:D348" si="85">ABS(C$349-C340)*ABS(C$349-C340)</f>
        <v>1.3425899954768995E-7</v>
      </c>
      <c r="E340">
        <f t="shared" ref="E340:E348" si="86">D340*B340</f>
        <v>2.9268461901396409E-5</v>
      </c>
    </row>
    <row r="341" spans="1:6">
      <c r="A341" t="s">
        <v>306</v>
      </c>
      <c r="B341">
        <f>953-895</f>
        <v>58</v>
      </c>
      <c r="C341">
        <v>2.4466760000000001E-3</v>
      </c>
      <c r="D341">
        <f t="shared" si="85"/>
        <v>5.1256822215769022E-7</v>
      </c>
      <c r="E341">
        <f t="shared" si="86"/>
        <v>2.9728956885146034E-5</v>
      </c>
    </row>
    <row r="342" spans="1:6">
      <c r="A342" t="s">
        <v>307</v>
      </c>
      <c r="B342">
        <v>32</v>
      </c>
      <c r="C342">
        <v>2.7962009999999999E-3</v>
      </c>
      <c r="D342">
        <f t="shared" si="85"/>
        <v>1.13521289601769E-6</v>
      </c>
      <c r="E342">
        <f t="shared" si="86"/>
        <v>3.632681267256608E-5</v>
      </c>
    </row>
    <row r="343" spans="1:6">
      <c r="A343" t="s">
        <v>308</v>
      </c>
      <c r="B343">
        <v>8</v>
      </c>
      <c r="C343">
        <v>3.1457260000000002E-3</v>
      </c>
      <c r="D343">
        <f t="shared" si="85"/>
        <v>2.0021930211276907E-6</v>
      </c>
      <c r="E343">
        <f t="shared" si="86"/>
        <v>1.6017544169021526E-5</v>
      </c>
    </row>
    <row r="344" spans="1:6">
      <c r="A344" t="s">
        <v>309</v>
      </c>
      <c r="B344">
        <v>3</v>
      </c>
      <c r="C344">
        <v>3.495251E-3</v>
      </c>
      <c r="D344">
        <f t="shared" si="85"/>
        <v>3.1135085974876903E-6</v>
      </c>
      <c r="E344">
        <f t="shared" si="86"/>
        <v>9.3405257924630714E-6</v>
      </c>
    </row>
    <row r="345" spans="1:6">
      <c r="A345" t="s">
        <v>310</v>
      </c>
      <c r="B345">
        <v>1</v>
      </c>
      <c r="C345">
        <v>3.8447759999999998E-3</v>
      </c>
      <c r="D345">
        <f t="shared" si="85"/>
        <v>4.4691596250976907E-6</v>
      </c>
      <c r="E345">
        <f t="shared" si="86"/>
        <v>4.4691596250976907E-6</v>
      </c>
    </row>
    <row r="346" spans="1:6">
      <c r="A346" t="s">
        <v>311</v>
      </c>
      <c r="B346">
        <v>1</v>
      </c>
      <c r="C346">
        <v>4.1943040000000003E-3</v>
      </c>
      <c r="D346">
        <f t="shared" si="85"/>
        <v>6.0691608853488909E-6</v>
      </c>
      <c r="E346">
        <f t="shared" si="86"/>
        <v>6.0691608853488909E-6</v>
      </c>
    </row>
    <row r="347" spans="1:6">
      <c r="A347" t="s">
        <v>312</v>
      </c>
      <c r="B347">
        <v>1</v>
      </c>
      <c r="C347">
        <v>5.5924049999999999E-3</v>
      </c>
      <c r="D347">
        <f t="shared" si="85"/>
        <v>1.4912477425223289E-5</v>
      </c>
      <c r="E347">
        <f t="shared" si="86"/>
        <v>1.4912477425223289E-5</v>
      </c>
    </row>
    <row r="348" spans="1:6">
      <c r="A348" t="s">
        <v>313</v>
      </c>
      <c r="B348">
        <v>1</v>
      </c>
      <c r="C348">
        <v>1.2582909999999999E-2</v>
      </c>
      <c r="D348">
        <f t="shared" si="85"/>
        <v>1.1776965231062528E-4</v>
      </c>
      <c r="E348">
        <f t="shared" si="86"/>
        <v>1.1776965231062528E-4</v>
      </c>
    </row>
    <row r="349" spans="1:6">
      <c r="C349">
        <f>Sheet2!H5</f>
        <v>1.7307372999999999E-3</v>
      </c>
    </row>
    <row r="351" spans="1:6">
      <c r="A351" t="s">
        <v>314</v>
      </c>
      <c r="B351">
        <v>11</v>
      </c>
      <c r="C351">
        <v>8.3886069999999993E-3</v>
      </c>
      <c r="D351">
        <f>ABS(C$367-C351)*ABS(C$367-C351)</f>
        <v>1.968444708996965E-5</v>
      </c>
      <c r="E351">
        <f t="shared" ref="E351" si="87">D351*B351</f>
        <v>2.1652891798966615E-4</v>
      </c>
      <c r="F351">
        <f>SQRT(SUM(E351:E366)/1000)</f>
        <v>6.7422494027126034E-3</v>
      </c>
    </row>
    <row r="352" spans="1:6">
      <c r="A352" t="s">
        <v>315</v>
      </c>
      <c r="B352">
        <v>299</v>
      </c>
      <c r="C352">
        <v>9.7867079999999999E-3</v>
      </c>
      <c r="D352">
        <f t="shared" ref="D352:D366" si="88">ABS(C$367-C352)*ABS(C$367-C352)</f>
        <v>9.2331799027790426E-6</v>
      </c>
      <c r="E352">
        <f t="shared" ref="E352:E366" si="89">D352*B352</f>
        <v>2.7607207909309335E-3</v>
      </c>
    </row>
    <row r="353" spans="1:5">
      <c r="A353" t="s">
        <v>316</v>
      </c>
      <c r="B353">
        <f>521-309</f>
        <v>212</v>
      </c>
      <c r="C353">
        <v>1.1184809E-2</v>
      </c>
      <c r="D353">
        <f t="shared" si="88"/>
        <v>2.6912855279904399E-6</v>
      </c>
      <c r="E353">
        <f t="shared" si="89"/>
        <v>5.7055253193397332E-4</v>
      </c>
    </row>
    <row r="354" spans="1:5">
      <c r="A354" t="s">
        <v>317</v>
      </c>
      <c r="B354">
        <f>647-521</f>
        <v>126</v>
      </c>
      <c r="C354">
        <v>1.2582909999999999E-2</v>
      </c>
      <c r="D354">
        <f t="shared" si="88"/>
        <v>5.8763965603840558E-8</v>
      </c>
      <c r="E354">
        <f t="shared" si="89"/>
        <v>7.4042596660839101E-6</v>
      </c>
    </row>
    <row r="355" spans="1:5">
      <c r="A355" t="s">
        <v>318</v>
      </c>
      <c r="B355">
        <f>731-647</f>
        <v>84</v>
      </c>
      <c r="C355">
        <v>1.3981011E-2</v>
      </c>
      <c r="D355">
        <f t="shared" si="88"/>
        <v>1.3356152156192387E-6</v>
      </c>
      <c r="E355">
        <f t="shared" si="89"/>
        <v>1.1219167811201605E-4</v>
      </c>
    </row>
    <row r="356" spans="1:5">
      <c r="A356" t="s">
        <v>319</v>
      </c>
      <c r="B356">
        <f>803-731</f>
        <v>72</v>
      </c>
      <c r="C356">
        <v>1.5379112E-2</v>
      </c>
      <c r="D356">
        <f t="shared" si="88"/>
        <v>6.5218392780366396E-6</v>
      </c>
      <c r="E356">
        <f t="shared" si="89"/>
        <v>4.6957242801863803E-4</v>
      </c>
    </row>
    <row r="357" spans="1:5">
      <c r="A357" t="s">
        <v>320</v>
      </c>
      <c r="B357">
        <v>45</v>
      </c>
      <c r="C357">
        <v>1.6777216000000001E-2</v>
      </c>
      <c r="D357">
        <f t="shared" si="88"/>
        <v>1.5617459864206244E-5</v>
      </c>
      <c r="E357">
        <f t="shared" si="89"/>
        <v>7.0278569388928104E-4</v>
      </c>
    </row>
    <row r="358" spans="1:5">
      <c r="A358" t="s">
        <v>321</v>
      </c>
      <c r="B358">
        <v>32</v>
      </c>
      <c r="C358">
        <v>2.2369620999999999E-2</v>
      </c>
      <c r="D358">
        <f t="shared" si="88"/>
        <v>9.1093628130523225E-5</v>
      </c>
      <c r="E358">
        <f t="shared" si="89"/>
        <v>2.9149961001767432E-3</v>
      </c>
    </row>
    <row r="359" spans="1:5">
      <c r="A359" t="s">
        <v>322</v>
      </c>
      <c r="B359">
        <v>11</v>
      </c>
      <c r="C359">
        <v>2.7962026000000001E-2</v>
      </c>
      <c r="D359">
        <f t="shared" si="88"/>
        <v>2.2911978376489027E-4</v>
      </c>
      <c r="E359">
        <f t="shared" si="89"/>
        <v>2.520317621413793E-3</v>
      </c>
    </row>
    <row r="360" spans="1:5">
      <c r="A360" t="s">
        <v>323</v>
      </c>
      <c r="B360">
        <v>8</v>
      </c>
      <c r="C360">
        <v>3.3554431000000003E-2</v>
      </c>
      <c r="D360">
        <f t="shared" si="88"/>
        <v>4.2969592676730733E-4</v>
      </c>
      <c r="E360">
        <f t="shared" si="89"/>
        <v>3.4375674141384586E-3</v>
      </c>
    </row>
    <row r="361" spans="1:5">
      <c r="A361" t="s">
        <v>324</v>
      </c>
      <c r="B361">
        <v>4</v>
      </c>
      <c r="C361">
        <v>4.4739240999999999E-2</v>
      </c>
      <c r="D361">
        <f t="shared" si="88"/>
        <v>1.0184981748762915E-3</v>
      </c>
      <c r="E361">
        <f t="shared" si="89"/>
        <v>4.0739926995051658E-3</v>
      </c>
    </row>
    <row r="362" spans="1:5">
      <c r="A362" t="s">
        <v>325</v>
      </c>
      <c r="B362">
        <v>2</v>
      </c>
      <c r="C362">
        <v>5.0331646000000001E-2</v>
      </c>
      <c r="D362">
        <f t="shared" si="88"/>
        <v>1.4067242799828579E-3</v>
      </c>
      <c r="E362">
        <f t="shared" si="89"/>
        <v>2.8134485599657158E-3</v>
      </c>
    </row>
    <row r="363" spans="1:5">
      <c r="A363" t="s">
        <v>326</v>
      </c>
      <c r="B363">
        <v>1</v>
      </c>
      <c r="C363">
        <v>5.5924051000000002E-2</v>
      </c>
      <c r="D363">
        <f t="shared" si="88"/>
        <v>1.8575003724574757E-3</v>
      </c>
      <c r="E363">
        <f t="shared" si="89"/>
        <v>1.8575003724574757E-3</v>
      </c>
    </row>
    <row r="364" spans="1:5">
      <c r="A364" t="s">
        <v>327</v>
      </c>
      <c r="B364">
        <v>1</v>
      </c>
      <c r="C364">
        <v>6.1516455999999997E-2</v>
      </c>
      <c r="D364">
        <f t="shared" si="88"/>
        <v>2.3708264523001421E-3</v>
      </c>
      <c r="E364">
        <f t="shared" si="89"/>
        <v>2.3708264523001421E-3</v>
      </c>
    </row>
    <row r="365" spans="1:5">
      <c r="A365" t="s">
        <v>328</v>
      </c>
      <c r="B365">
        <v>2</v>
      </c>
      <c r="C365">
        <v>6.7108864000000004E-2</v>
      </c>
      <c r="D365">
        <f t="shared" si="88"/>
        <v>2.9467028452120981E-3</v>
      </c>
      <c r="E365">
        <f t="shared" si="89"/>
        <v>5.8934056904241961E-3</v>
      </c>
    </row>
    <row r="366" spans="1:5">
      <c r="A366" t="s">
        <v>329</v>
      </c>
      <c r="B366">
        <v>1</v>
      </c>
      <c r="C366">
        <v>0.13421772700000001</v>
      </c>
      <c r="D366">
        <f t="shared" si="88"/>
        <v>1.473611579745618E-2</v>
      </c>
      <c r="E366">
        <f t="shared" si="89"/>
        <v>1.473611579745618E-2</v>
      </c>
    </row>
    <row r="367" spans="1:5">
      <c r="C367">
        <f>Sheet2!O5</f>
        <v>1.28253228E-2</v>
      </c>
    </row>
    <row r="369" spans="1:6">
      <c r="A369" t="s">
        <v>330</v>
      </c>
      <c r="B369">
        <v>3</v>
      </c>
      <c r="C369">
        <v>4.1943040000000003E-3</v>
      </c>
      <c r="D369">
        <f>ABS(C$376-C369)*ABS(C$376-C369)</f>
        <v>7.3762881915023958E-7</v>
      </c>
      <c r="E369">
        <f t="shared" ref="E369" si="90">D369*B369</f>
        <v>2.2128864574507189E-6</v>
      </c>
      <c r="F369">
        <f>SQRT(SUM(E369:E375)/1000)</f>
        <v>1.1390764835473434E-3</v>
      </c>
    </row>
    <row r="370" spans="1:6">
      <c r="A370" t="s">
        <v>331</v>
      </c>
      <c r="B370">
        <v>809</v>
      </c>
      <c r="C370">
        <v>5.5924049999999999E-3</v>
      </c>
      <c r="D370">
        <f t="shared" ref="D370:D375" si="91">ABS(C$376-C370)*ABS(C$376-C370)</f>
        <v>2.9078818980483993E-7</v>
      </c>
      <c r="E370">
        <f t="shared" ref="E370:E375" si="92">D370*B370</f>
        <v>2.3524764555211551E-4</v>
      </c>
    </row>
    <row r="371" spans="1:6">
      <c r="A371" t="s">
        <v>332</v>
      </c>
      <c r="B371">
        <f>976-812</f>
        <v>164</v>
      </c>
      <c r="C371">
        <v>6.9905059999999996E-3</v>
      </c>
      <c r="D371">
        <f t="shared" si="91"/>
        <v>3.7533203728614384E-6</v>
      </c>
      <c r="E371">
        <f t="shared" si="92"/>
        <v>6.1554454114927588E-4</v>
      </c>
    </row>
    <row r="372" spans="1:6">
      <c r="A372" t="s">
        <v>333</v>
      </c>
      <c r="B372">
        <v>14</v>
      </c>
      <c r="C372">
        <v>8.3886069999999993E-3</v>
      </c>
      <c r="D372">
        <f t="shared" si="91"/>
        <v>1.1125225368320036E-5</v>
      </c>
      <c r="E372">
        <f t="shared" si="92"/>
        <v>1.557531551564805E-4</v>
      </c>
    </row>
    <row r="373" spans="1:6">
      <c r="A373" t="s">
        <v>334</v>
      </c>
      <c r="B373">
        <v>7</v>
      </c>
      <c r="C373">
        <v>9.7867079999999999E-3</v>
      </c>
      <c r="D373">
        <f t="shared" si="91"/>
        <v>2.2406503176180638E-5</v>
      </c>
      <c r="E373">
        <f t="shared" si="92"/>
        <v>1.5684552223326447E-4</v>
      </c>
    </row>
    <row r="374" spans="1:6">
      <c r="A374" t="s">
        <v>335</v>
      </c>
      <c r="B374">
        <v>2</v>
      </c>
      <c r="C374">
        <v>1.1184809E-2</v>
      </c>
      <c r="D374">
        <f t="shared" si="91"/>
        <v>3.7597153796443245E-5</v>
      </c>
      <c r="E374">
        <f t="shared" si="92"/>
        <v>7.519430759288649E-5</v>
      </c>
    </row>
    <row r="375" spans="1:6">
      <c r="A375" t="s">
        <v>336</v>
      </c>
      <c r="B375">
        <v>1</v>
      </c>
      <c r="C375">
        <v>1.2582909999999999E-2</v>
      </c>
      <c r="D375">
        <f t="shared" si="91"/>
        <v>5.669717722910783E-5</v>
      </c>
      <c r="E375">
        <f t="shared" si="92"/>
        <v>5.669717722910783E-5</v>
      </c>
    </row>
    <row r="376" spans="1:6">
      <c r="C376">
        <f>Sheet2!AE5</f>
        <v>5.0531572E-3</v>
      </c>
    </row>
    <row r="378" spans="1:6">
      <c r="A378" t="s">
        <v>337</v>
      </c>
      <c r="B378">
        <v>945</v>
      </c>
      <c r="C378">
        <v>1E-3</v>
      </c>
      <c r="D378">
        <f>ABS(C$383-C378)*ABS(C$383-C378)</f>
        <v>5.9987471867560004E-8</v>
      </c>
      <c r="E378">
        <f t="shared" ref="E378" si="93">D378*B378</f>
        <v>5.6688160914844204E-5</v>
      </c>
      <c r="F378">
        <f>SQRT(SUM(E378:E383)/1000)</f>
        <v>2.9411899497316452E-4</v>
      </c>
    </row>
    <row r="379" spans="1:6">
      <c r="A379" t="s">
        <v>338</v>
      </c>
      <c r="B379">
        <v>15</v>
      </c>
      <c r="C379">
        <v>1.0485760000000001E-3</v>
      </c>
      <c r="D379">
        <f t="shared" ref="D379:D382" si="94">ABS(C$383-C379)*ABS(C$383-C379)</f>
        <v>8.6141897800360031E-8</v>
      </c>
      <c r="E379">
        <f t="shared" ref="E379:E382" si="95">D379*B379</f>
        <v>1.2921284670054004E-6</v>
      </c>
    </row>
    <row r="380" spans="1:6">
      <c r="A380" t="s">
        <v>339</v>
      </c>
      <c r="B380">
        <v>38</v>
      </c>
      <c r="C380">
        <v>1.3981009999999999E-3</v>
      </c>
      <c r="D380">
        <f t="shared" si="94"/>
        <v>4.1348037899535987E-7</v>
      </c>
      <c r="E380">
        <f t="shared" si="95"/>
        <v>1.5712254401823675E-5</v>
      </c>
    </row>
    <row r="381" spans="1:6">
      <c r="A381" t="s">
        <v>340</v>
      </c>
      <c r="B381">
        <v>1</v>
      </c>
      <c r="C381">
        <v>1.747626E-3</v>
      </c>
      <c r="D381">
        <f t="shared" si="94"/>
        <v>9.8515431144035959E-7</v>
      </c>
      <c r="E381">
        <f t="shared" si="95"/>
        <v>9.8515431144035959E-7</v>
      </c>
    </row>
    <row r="382" spans="1:6">
      <c r="A382" t="s">
        <v>341</v>
      </c>
      <c r="B382">
        <v>1</v>
      </c>
      <c r="C382">
        <v>4.1943040000000003E-3</v>
      </c>
      <c r="D382">
        <f t="shared" si="94"/>
        <v>1.1828285108910762E-5</v>
      </c>
      <c r="E382">
        <f t="shared" si="95"/>
        <v>1.1828285108910762E-5</v>
      </c>
    </row>
    <row r="383" spans="1:6">
      <c r="C383">
        <f>Sheet2!S5</f>
        <v>7.5507660000000002E-4</v>
      </c>
    </row>
    <row r="385" spans="1:6">
      <c r="A385" t="s">
        <v>342</v>
      </c>
      <c r="B385">
        <v>330</v>
      </c>
      <c r="C385">
        <v>3.495251E-3</v>
      </c>
      <c r="D385">
        <f t="shared" ref="D385:D395" si="96">ABS(C$396-C385)*ABS(C$396-C385)</f>
        <v>2.6127902510115953E-7</v>
      </c>
      <c r="E385">
        <f t="shared" ref="E385" si="97">D385*B385</f>
        <v>8.622207828338264E-5</v>
      </c>
      <c r="F385">
        <f>SQRT(SUM(E385:E395)/1000)</f>
        <v>1.7694809911845053E-3</v>
      </c>
    </row>
    <row r="386" spans="1:6">
      <c r="A386" t="s">
        <v>343</v>
      </c>
      <c r="B386">
        <f>594-330</f>
        <v>264</v>
      </c>
      <c r="C386">
        <v>3.8447759999999998E-3</v>
      </c>
      <c r="D386">
        <f t="shared" si="96"/>
        <v>2.6124127596159907E-8</v>
      </c>
      <c r="E386">
        <f t="shared" ref="E386:E395" si="98">D386*B386</f>
        <v>6.8967696853862155E-6</v>
      </c>
    </row>
    <row r="387" spans="1:6">
      <c r="A387" t="s">
        <v>344</v>
      </c>
      <c r="B387">
        <f>764-594</f>
        <v>170</v>
      </c>
      <c r="C387">
        <v>4.1943040000000003E-3</v>
      </c>
      <c r="D387">
        <f t="shared" si="96"/>
        <v>3.5305808722560268E-8</v>
      </c>
      <c r="E387">
        <f t="shared" si="98"/>
        <v>6.0019874828352452E-6</v>
      </c>
    </row>
    <row r="388" spans="1:6">
      <c r="A388" t="s">
        <v>345</v>
      </c>
      <c r="B388">
        <f>960-764</f>
        <v>196</v>
      </c>
      <c r="C388">
        <v>5.5924049999999999E-3</v>
      </c>
      <c r="D388">
        <f t="shared" si="96"/>
        <v>2.5153940968003613E-6</v>
      </c>
      <c r="E388">
        <f t="shared" si="98"/>
        <v>4.9301724297287077E-4</v>
      </c>
    </row>
    <row r="389" spans="1:6">
      <c r="A389" t="s">
        <v>346</v>
      </c>
      <c r="B389">
        <v>24</v>
      </c>
      <c r="C389">
        <v>6.9905059999999996E-3</v>
      </c>
      <c r="D389">
        <f t="shared" si="96"/>
        <v>8.9048551972801605E-6</v>
      </c>
      <c r="E389">
        <f t="shared" si="98"/>
        <v>2.1371652473472385E-4</v>
      </c>
    </row>
    <row r="390" spans="1:6">
      <c r="A390" t="s">
        <v>347</v>
      </c>
      <c r="B390">
        <v>6</v>
      </c>
      <c r="C390">
        <v>8.3886069999999993E-3</v>
      </c>
      <c r="D390">
        <f t="shared" si="96"/>
        <v>1.9203689110161958E-5</v>
      </c>
      <c r="E390">
        <f t="shared" si="98"/>
        <v>1.1522213466097175E-4</v>
      </c>
    </row>
    <row r="391" spans="1:6">
      <c r="A391" t="s">
        <v>348</v>
      </c>
      <c r="B391">
        <v>4</v>
      </c>
      <c r="C391">
        <v>9.7867079999999999E-3</v>
      </c>
      <c r="D391">
        <f t="shared" si="96"/>
        <v>3.3411895835445764E-5</v>
      </c>
      <c r="E391">
        <f t="shared" si="98"/>
        <v>1.3364758334178306E-4</v>
      </c>
    </row>
    <row r="392" spans="1:6">
      <c r="A392" t="s">
        <v>349</v>
      </c>
      <c r="B392">
        <v>3</v>
      </c>
      <c r="C392">
        <v>1.1184809E-2</v>
      </c>
      <c r="D392">
        <f t="shared" si="96"/>
        <v>5.1529475373131573E-5</v>
      </c>
      <c r="E392">
        <f t="shared" si="98"/>
        <v>1.5458842611939472E-4</v>
      </c>
    </row>
    <row r="393" spans="1:6">
      <c r="A393" t="s">
        <v>350</v>
      </c>
      <c r="B393">
        <v>1</v>
      </c>
      <c r="C393">
        <v>1.3981011E-2</v>
      </c>
      <c r="D393">
        <f t="shared" si="96"/>
        <v>9.9492752885709142E-5</v>
      </c>
      <c r="E393">
        <f t="shared" si="98"/>
        <v>9.9492752885709142E-5</v>
      </c>
    </row>
    <row r="394" spans="1:6">
      <c r="A394" t="s">
        <v>351</v>
      </c>
      <c r="B394">
        <v>1</v>
      </c>
      <c r="C394">
        <v>1.6777216000000001E-2</v>
      </c>
      <c r="D394">
        <f t="shared" si="96"/>
        <v>1.6309359827274822E-4</v>
      </c>
      <c r="E394">
        <f t="shared" si="98"/>
        <v>1.6309359827274822E-4</v>
      </c>
    </row>
    <row r="395" spans="1:6">
      <c r="A395" t="s">
        <v>352</v>
      </c>
      <c r="B395">
        <v>1</v>
      </c>
      <c r="C395">
        <v>4.4739240999999999E-2</v>
      </c>
      <c r="D395">
        <f t="shared" si="96"/>
        <v>1.6591638797234932E-3</v>
      </c>
      <c r="E395">
        <f t="shared" si="98"/>
        <v>1.6591638797234932E-3</v>
      </c>
    </row>
    <row r="396" spans="1:6">
      <c r="C396">
        <f>Sheet2!AF5</f>
        <v>4.0064055999999995E-3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Peregrin Gunn</dc:creator>
  <cp:lastModifiedBy>Peregrin Gunn</cp:lastModifiedBy>
  <dcterms:created xsi:type="dcterms:W3CDTF">2022-09-16T20:05:53Z</dcterms:created>
  <dcterms:modified xsi:type="dcterms:W3CDTF">2022-09-23T19:05:14Z</dcterms:modified>
</cp:coreProperties>
</file>