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ny\Documents\Work\ASIC2\Papers\BitLet\"/>
    </mc:Choice>
  </mc:AlternateContent>
  <xr:revisionPtr revIDLastSave="0" documentId="13_ncr:1_{A4F02BCD-AC4E-45CF-AF8F-92660D872497}" xr6:coauthVersionLast="45" xr6:coauthVersionMax="45" xr10:uidLastSave="{00000000-0000-0000-0000-000000000000}"/>
  <bookViews>
    <workbookView xWindow="-120" yWindow="-120" windowWidth="29040" windowHeight="15840" xr2:uid="{46A591E1-28A7-4288-8615-6FCE4CEFDC17}"/>
  </bookViews>
  <sheets>
    <sheet name="Bitl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AD27" i="1"/>
  <c r="V27" i="1"/>
  <c r="S27" i="1"/>
  <c r="P27" i="1"/>
  <c r="AD24" i="1"/>
  <c r="Y24" i="1"/>
  <c r="Y27" i="1" s="1"/>
  <c r="W24" i="1"/>
  <c r="W27" i="1" s="1"/>
  <c r="V24" i="1"/>
  <c r="U24" i="1"/>
  <c r="U27" i="1" s="1"/>
  <c r="T24" i="1"/>
  <c r="T27" i="1" s="1"/>
  <c r="S24" i="1"/>
  <c r="R24" i="1"/>
  <c r="P24" i="1"/>
  <c r="O24" i="1"/>
  <c r="O27" i="1" s="1"/>
  <c r="N24" i="1"/>
  <c r="N27" i="1" s="1"/>
  <c r="M24" i="1"/>
  <c r="L24" i="1"/>
  <c r="L27" i="1" s="1"/>
  <c r="K24" i="1"/>
  <c r="J24" i="1"/>
  <c r="I24" i="1"/>
  <c r="I27" i="1" s="1"/>
  <c r="H24" i="1"/>
  <c r="G24" i="1"/>
  <c r="G27" i="1" s="1"/>
  <c r="F24" i="1"/>
  <c r="F27" i="1" s="1"/>
  <c r="E24" i="1"/>
  <c r="AD23" i="1"/>
  <c r="AD25" i="1" s="1"/>
  <c r="AD28" i="1" s="1"/>
  <c r="Y23" i="1"/>
  <c r="Y26" i="1" s="1"/>
  <c r="U23" i="1"/>
  <c r="S23" i="1"/>
  <c r="R23" i="1"/>
  <c r="P23" i="1"/>
  <c r="M23" i="1"/>
  <c r="M26" i="1" s="1"/>
  <c r="L23" i="1"/>
  <c r="K23" i="1"/>
  <c r="K26" i="1" s="1"/>
  <c r="J23" i="1"/>
  <c r="H23" i="1"/>
  <c r="E23" i="1"/>
  <c r="AD21" i="1"/>
  <c r="U21" i="1"/>
  <c r="S21" i="1"/>
  <c r="P21" i="1"/>
  <c r="K21" i="1"/>
  <c r="H21" i="1"/>
  <c r="AD20" i="1"/>
  <c r="Y20" i="1"/>
  <c r="W20" i="1"/>
  <c r="V20" i="1"/>
  <c r="U20" i="1"/>
  <c r="T20" i="1"/>
  <c r="S20" i="1"/>
  <c r="P20" i="1"/>
  <c r="O20" i="1"/>
  <c r="L20" i="1"/>
  <c r="G20" i="1"/>
  <c r="F20" i="1"/>
  <c r="AD19" i="1"/>
  <c r="AD22" i="1" s="1"/>
  <c r="Y19" i="1"/>
  <c r="H19" i="1"/>
  <c r="H22" i="1" s="1"/>
  <c r="Y15" i="1"/>
  <c r="Y21" i="1" s="1"/>
  <c r="Y22" i="1" s="1"/>
  <c r="W15" i="1"/>
  <c r="W21" i="1" s="1"/>
  <c r="V15" i="1"/>
  <c r="V21" i="1" s="1"/>
  <c r="U15" i="1"/>
  <c r="T15" i="1"/>
  <c r="T21" i="1" s="1"/>
  <c r="S15" i="1"/>
  <c r="R15" i="1"/>
  <c r="R21" i="1" s="1"/>
  <c r="O15" i="1"/>
  <c r="O21" i="1" s="1"/>
  <c r="N15" i="1"/>
  <c r="N21" i="1" s="1"/>
  <c r="M15" i="1"/>
  <c r="M21" i="1" s="1"/>
  <c r="L15" i="1"/>
  <c r="L21" i="1" s="1"/>
  <c r="K15" i="1"/>
  <c r="J15" i="1"/>
  <c r="J21" i="1" s="1"/>
  <c r="I15" i="1"/>
  <c r="I21" i="1" s="1"/>
  <c r="H15" i="1"/>
  <c r="F15" i="1"/>
  <c r="E15" i="1"/>
  <c r="E21" i="1" s="1"/>
  <c r="W14" i="1"/>
  <c r="R14" i="1"/>
  <c r="R20" i="1" s="1"/>
  <c r="O14" i="1"/>
  <c r="N14" i="1"/>
  <c r="N20" i="1" s="1"/>
  <c r="M14" i="1"/>
  <c r="M20" i="1" s="1"/>
  <c r="M27" i="1" s="1"/>
  <c r="L14" i="1"/>
  <c r="K14" i="1"/>
  <c r="K20" i="1" s="1"/>
  <c r="J14" i="1"/>
  <c r="J20" i="1" s="1"/>
  <c r="J27" i="1" s="1"/>
  <c r="I14" i="1"/>
  <c r="I20" i="1" s="1"/>
  <c r="H14" i="1"/>
  <c r="H20" i="1" s="1"/>
  <c r="H27" i="1" s="1"/>
  <c r="F14" i="1"/>
  <c r="E14" i="1"/>
  <c r="E20" i="1" s="1"/>
  <c r="E27" i="1" s="1"/>
  <c r="G13" i="1"/>
  <c r="G21" i="1" s="1"/>
  <c r="F13" i="1"/>
  <c r="F21" i="1" s="1"/>
  <c r="AD11" i="1"/>
  <c r="W11" i="1"/>
  <c r="W23" i="1" s="1"/>
  <c r="V11" i="1"/>
  <c r="V19" i="1" s="1"/>
  <c r="T11" i="1"/>
  <c r="T19" i="1" s="1"/>
  <c r="T22" i="1" s="1"/>
  <c r="P11" i="1"/>
  <c r="O11" i="1"/>
  <c r="O23" i="1" s="1"/>
  <c r="N11" i="1"/>
  <c r="N23" i="1" s="1"/>
  <c r="J11" i="1"/>
  <c r="I11" i="1"/>
  <c r="I23" i="1" s="1"/>
  <c r="H11" i="1"/>
  <c r="G11" i="1"/>
  <c r="F11" i="1"/>
  <c r="G10" i="1"/>
  <c r="F10" i="1"/>
  <c r="F23" i="1" s="1"/>
  <c r="Z9" i="1"/>
  <c r="AD8" i="1"/>
  <c r="V8" i="1"/>
  <c r="U8" i="1"/>
  <c r="U19" i="1" s="1"/>
  <c r="T8" i="1"/>
  <c r="R8" i="1"/>
  <c r="R19" i="1" s="1"/>
  <c r="M8" i="1"/>
  <c r="M19" i="1" s="1"/>
  <c r="M22" i="1" s="1"/>
  <c r="L8" i="1"/>
  <c r="L19" i="1" s="1"/>
  <c r="K8" i="1"/>
  <c r="K19" i="1" s="1"/>
  <c r="K22" i="1" s="1"/>
  <c r="I8" i="1"/>
  <c r="H8" i="1"/>
  <c r="G8" i="1"/>
  <c r="Y7" i="1"/>
  <c r="W7" i="1"/>
  <c r="W8" i="1" s="1"/>
  <c r="Y6" i="1"/>
  <c r="W6" i="1"/>
  <c r="V6" i="1"/>
  <c r="U6" i="1"/>
  <c r="T6" i="1"/>
  <c r="S6" i="1"/>
  <c r="S8" i="1" s="1"/>
  <c r="S19" i="1" s="1"/>
  <c r="S22" i="1" s="1"/>
  <c r="R6" i="1"/>
  <c r="P6" i="1"/>
  <c r="P8" i="1" s="1"/>
  <c r="P19" i="1" s="1"/>
  <c r="P22" i="1" s="1"/>
  <c r="O6" i="1"/>
  <c r="O8" i="1" s="1"/>
  <c r="N6" i="1"/>
  <c r="N8" i="1" s="1"/>
  <c r="M6" i="1"/>
  <c r="L6" i="1"/>
  <c r="K6" i="1"/>
  <c r="J6" i="1"/>
  <c r="J8" i="1" s="1"/>
  <c r="J19" i="1" s="1"/>
  <c r="J22" i="1" s="1"/>
  <c r="I6" i="1"/>
  <c r="F6" i="1"/>
  <c r="F8" i="1" s="1"/>
  <c r="E6" i="1"/>
  <c r="G23" i="1" l="1"/>
  <c r="E19" i="1"/>
  <c r="E22" i="1" s="1"/>
  <c r="L25" i="1"/>
  <c r="L28" i="1" s="1"/>
  <c r="L26" i="1"/>
  <c r="L22" i="1"/>
  <c r="O26" i="1"/>
  <c r="O25" i="1"/>
  <c r="O28" i="1" s="1"/>
  <c r="P25" i="1"/>
  <c r="P28" i="1" s="1"/>
  <c r="R26" i="1"/>
  <c r="R22" i="1"/>
  <c r="R25" i="1" s="1"/>
  <c r="R28" i="1" s="1"/>
  <c r="S25" i="1"/>
  <c r="S28" i="1" s="1"/>
  <c r="R27" i="1"/>
  <c r="V22" i="1"/>
  <c r="H25" i="1"/>
  <c r="H28" i="1" s="1"/>
  <c r="U26" i="1"/>
  <c r="U22" i="1"/>
  <c r="U25" i="1" s="1"/>
  <c r="U28" i="1" s="1"/>
  <c r="J26" i="1"/>
  <c r="K27" i="1"/>
  <c r="J25" i="1"/>
  <c r="J28" i="1" s="1"/>
  <c r="T23" i="1"/>
  <c r="M25" i="1"/>
  <c r="M28" i="1" s="1"/>
  <c r="V23" i="1"/>
  <c r="F19" i="1"/>
  <c r="F22" i="1" s="1"/>
  <c r="N19" i="1"/>
  <c r="N22" i="1" s="1"/>
  <c r="W19" i="1"/>
  <c r="W22" i="1" s="1"/>
  <c r="S26" i="1"/>
  <c r="K25" i="1"/>
  <c r="K28" i="1" s="1"/>
  <c r="H26" i="1"/>
  <c r="P26" i="1"/>
  <c r="AD26" i="1"/>
  <c r="G19" i="1"/>
  <c r="G22" i="1" s="1"/>
  <c r="G25" i="1" s="1"/>
  <c r="G28" i="1" s="1"/>
  <c r="O19" i="1"/>
  <c r="O22" i="1" s="1"/>
  <c r="Y25" i="1"/>
  <c r="Y28" i="1" s="1"/>
  <c r="I19" i="1"/>
  <c r="I22" i="1" s="1"/>
  <c r="G26" i="1" l="1"/>
  <c r="F26" i="1"/>
  <c r="E25" i="1"/>
  <c r="E28" i="1" s="1"/>
  <c r="E26" i="1"/>
  <c r="F25" i="1"/>
  <c r="F28" i="1" s="1"/>
  <c r="T25" i="1"/>
  <c r="T28" i="1" s="1"/>
  <c r="T26" i="1"/>
  <c r="I26" i="1"/>
  <c r="W25" i="1"/>
  <c r="W28" i="1" s="1"/>
  <c r="I25" i="1"/>
  <c r="I28" i="1" s="1"/>
  <c r="N25" i="1"/>
  <c r="N28" i="1" s="1"/>
  <c r="V26" i="1"/>
  <c r="V25" i="1"/>
  <c r="V28" i="1" s="1"/>
  <c r="W26" i="1"/>
  <c r="N26" i="1"/>
</calcChain>
</file>

<file path=xl/sharedStrings.xml><?xml version="1.0" encoding="utf-8"?>
<sst xmlns="http://schemas.openxmlformats.org/spreadsheetml/2006/main" count="171" uniqueCount="122">
  <si>
    <t>B</t>
  </si>
  <si>
    <t>C</t>
  </si>
  <si>
    <t>D</t>
  </si>
  <si>
    <t>E</t>
  </si>
  <si>
    <t>F</t>
  </si>
  <si>
    <t>G</t>
  </si>
  <si>
    <t>I</t>
  </si>
  <si>
    <t>L</t>
  </si>
  <si>
    <t>O</t>
  </si>
  <si>
    <t>Q</t>
  </si>
  <si>
    <t>R</t>
  </si>
  <si>
    <t>S</t>
  </si>
  <si>
    <t>T</t>
  </si>
  <si>
    <t>U</t>
  </si>
  <si>
    <t>V</t>
  </si>
  <si>
    <t>W</t>
  </si>
  <si>
    <t>X</t>
  </si>
  <si>
    <t>Y</t>
  </si>
  <si>
    <t>1a</t>
  </si>
  <si>
    <t>1b</t>
  </si>
  <si>
    <t>1c</t>
  </si>
  <si>
    <t>1d</t>
  </si>
  <si>
    <t>1e</t>
  </si>
  <si>
    <t>1f</t>
  </si>
  <si>
    <t>3a</t>
  </si>
  <si>
    <t>3b</t>
  </si>
  <si>
    <t>3c</t>
  </si>
  <si>
    <t>3d</t>
  </si>
  <si>
    <t xml:space="preserve">bits </t>
  </si>
  <si>
    <t>Compaction 48bit-&gt;16bit</t>
  </si>
  <si>
    <t>Shifted</t>
  </si>
  <si>
    <t>1% Filter</t>
  </si>
  <si>
    <t>Reduction</t>
  </si>
  <si>
    <t>pim cpu</t>
  </si>
  <si>
    <t>PIM cpu</t>
  </si>
  <si>
    <t>pim CPU</t>
  </si>
  <si>
    <t>PIM CPU</t>
  </si>
  <si>
    <t>Vec-Add</t>
  </si>
  <si>
    <t xml:space="preserve">Parameter Name </t>
  </si>
  <si>
    <t xml:space="preserve">  Notation </t>
  </si>
  <si>
    <t>Units</t>
  </si>
  <si>
    <t>16b-OR</t>
  </si>
  <si>
    <t>16b-ADD</t>
  </si>
  <si>
    <t>16b-MULT.</t>
  </si>
  <si>
    <t>OR</t>
  </si>
  <si>
    <t>MPY</t>
  </si>
  <si>
    <t>32b-CMP</t>
  </si>
  <si>
    <t xml:space="preserve"> Value(s) </t>
  </si>
  <si>
    <t xml:space="preserve"> Type</t>
  </si>
  <si>
    <t xml:space="preserve">PIM operation complexity </t>
  </si>
  <si>
    <t>OC</t>
  </si>
  <si>
    <t>cycles</t>
  </si>
  <si>
    <t xml:space="preserve"> 1 - 32k cycles </t>
  </si>
  <si>
    <t xml:space="preserve"> Algo.</t>
  </si>
  <si>
    <t>PIM Place &amp; Align</t>
  </si>
  <si>
    <t>PAC</t>
  </si>
  <si>
    <t xml:space="preserve">0 - 1024x1024 </t>
  </si>
  <si>
    <t xml:space="preserve"> Algo.    </t>
  </si>
  <si>
    <t>PIM computational complexity</t>
  </si>
  <si>
    <t>CC=OC+PAC</t>
  </si>
  <si>
    <t xml:space="preserve"> Algo.       </t>
  </si>
  <si>
    <t>PIM cycle time</t>
  </si>
  <si>
    <t>CT</t>
  </si>
  <si>
    <t>sec</t>
  </si>
  <si>
    <t xml:space="preserve"> 10 ns</t>
  </si>
  <si>
    <t xml:space="preserve"> Tech.    </t>
  </si>
  <si>
    <t>PIM array dimension (Rows)</t>
  </si>
  <si>
    <t>#</t>
  </si>
  <si>
    <t xml:space="preserve"> 1024 x 1024   </t>
  </si>
  <si>
    <t xml:space="preserve"> Tech.        </t>
  </si>
  <si>
    <t xml:space="preserve">PIM array count </t>
  </si>
  <si>
    <t>MATs</t>
  </si>
  <si>
    <t xml:space="preserve">1k - 16k </t>
  </si>
  <si>
    <t xml:space="preserve"> Arch.      </t>
  </si>
  <si>
    <t xml:space="preserve">PIM energy for op (OC=1) per bit </t>
  </si>
  <si>
    <r>
      <t>Ebit</t>
    </r>
    <r>
      <rPr>
        <vertAlign val="subscript"/>
        <sz val="11"/>
        <rFont val="Calibri"/>
        <family val="2"/>
        <scheme val="minor"/>
      </rPr>
      <t>PIM</t>
    </r>
  </si>
  <si>
    <t>Joules</t>
  </si>
  <si>
    <t xml:space="preserve"> 0.1pJ</t>
  </si>
  <si>
    <t xml:space="preserve"> Tech.   </t>
  </si>
  <si>
    <t xml:space="preserve">CPU memory bandwidth </t>
  </si>
  <si>
    <t>BW</t>
  </si>
  <si>
    <t>bps</t>
  </si>
  <si>
    <t xml:space="preserve"> 1 to 16 Tbps </t>
  </si>
  <si>
    <t xml:space="preserve"> Arch.    </t>
  </si>
  <si>
    <t>CPU data in-out bits (CPU Pure)</t>
  </si>
  <si>
    <r>
      <t>DIO</t>
    </r>
    <r>
      <rPr>
        <vertAlign val="subscript"/>
        <sz val="11"/>
        <rFont val="Calibri"/>
        <family val="2"/>
        <scheme val="minor"/>
      </rPr>
      <t>CPU</t>
    </r>
  </si>
  <si>
    <t>bits</t>
  </si>
  <si>
    <t xml:space="preserve"> 24, 48 </t>
  </si>
  <si>
    <t xml:space="preserve"> Algo.   </t>
  </si>
  <si>
    <t>CPU data in-out bits (PIM+CPU)</t>
  </si>
  <si>
    <r>
      <t>DIO</t>
    </r>
    <r>
      <rPr>
        <vertAlign val="subscript"/>
        <sz val="11"/>
        <rFont val="Calibri"/>
        <family val="2"/>
        <scheme val="minor"/>
      </rPr>
      <t>Combined</t>
    </r>
  </si>
  <si>
    <t xml:space="preserve">CPU energy per bit transfer  </t>
  </si>
  <si>
    <r>
      <t>Ebit</t>
    </r>
    <r>
      <rPr>
        <vertAlign val="subscript"/>
        <sz val="11"/>
        <rFont val="Calibri"/>
        <family val="2"/>
        <scheme val="minor"/>
      </rPr>
      <t>CPU</t>
    </r>
  </si>
  <si>
    <t xml:space="preserve"> 15pJ </t>
  </si>
  <si>
    <t>Entity</t>
  </si>
  <si>
    <t xml:space="preserve">Units    </t>
  </si>
  <si>
    <t>PIM Throughput</t>
  </si>
  <si>
    <r>
      <t>TP</t>
    </r>
    <r>
      <rPr>
        <vertAlign val="subscript"/>
        <sz val="11"/>
        <color theme="1"/>
        <rFont val="Calibri"/>
        <family val="2"/>
        <scheme val="minor"/>
      </rPr>
      <t>PIM</t>
    </r>
  </si>
  <si>
    <t xml:space="preserve">GOPS </t>
  </si>
  <si>
    <t>CPU Throughput (CPU Pure)</t>
  </si>
  <si>
    <r>
      <t>TP</t>
    </r>
    <r>
      <rPr>
        <vertAlign val="subscript"/>
        <sz val="11"/>
        <color theme="1"/>
        <rFont val="Calibri"/>
        <family val="2"/>
        <scheme val="minor"/>
      </rPr>
      <t>CPU (pure)</t>
    </r>
  </si>
  <si>
    <t>CPU Throughput (PIM+CPU)</t>
  </si>
  <si>
    <r>
      <t>TP</t>
    </r>
    <r>
      <rPr>
        <vertAlign val="subscript"/>
        <sz val="11"/>
        <color theme="0" tint="-0.499984740745262"/>
        <rFont val="Calibri"/>
        <family val="2"/>
        <scheme val="minor"/>
      </rPr>
      <t>CPU (Combined)</t>
    </r>
  </si>
  <si>
    <t>Combined Throughput</t>
  </si>
  <si>
    <r>
      <t>TP</t>
    </r>
    <r>
      <rPr>
        <vertAlign val="subscript"/>
        <sz val="11"/>
        <color theme="1"/>
        <rFont val="Calibri"/>
        <family val="2"/>
        <scheme val="minor"/>
      </rPr>
      <t>Combined</t>
    </r>
  </si>
  <si>
    <t xml:space="preserve">GOPS  </t>
  </si>
  <si>
    <t>PIM Power</t>
  </si>
  <si>
    <r>
      <t>P</t>
    </r>
    <r>
      <rPr>
        <vertAlign val="subscript"/>
        <sz val="11"/>
        <color theme="1"/>
        <rFont val="Calibri"/>
        <family val="2"/>
        <scheme val="minor"/>
      </rPr>
      <t>PIM</t>
    </r>
  </si>
  <si>
    <t>Watts</t>
  </si>
  <si>
    <t>CPU Power</t>
  </si>
  <si>
    <r>
      <t>P</t>
    </r>
    <r>
      <rPr>
        <vertAlign val="subscript"/>
        <sz val="11"/>
        <color theme="1"/>
        <rFont val="Calibri"/>
        <family val="2"/>
        <scheme val="minor"/>
      </rPr>
      <t>CPU</t>
    </r>
  </si>
  <si>
    <t>Combined Power</t>
  </si>
  <si>
    <r>
      <t>P</t>
    </r>
    <r>
      <rPr>
        <vertAlign val="subscript"/>
        <sz val="11"/>
        <color theme="1"/>
        <rFont val="Calibri"/>
        <family val="2"/>
        <scheme val="minor"/>
      </rPr>
      <t>combined</t>
    </r>
  </si>
  <si>
    <t xml:space="preserve">Watts </t>
  </si>
  <si>
    <t>PIM Energy per Computation</t>
  </si>
  <si>
    <r>
      <t>EPC</t>
    </r>
    <r>
      <rPr>
        <vertAlign val="subscript"/>
        <sz val="11"/>
        <color theme="1"/>
        <rFont val="Calibri"/>
        <family val="2"/>
        <scheme val="minor"/>
      </rPr>
      <t>PIM</t>
    </r>
  </si>
  <si>
    <t>J/GOP</t>
  </si>
  <si>
    <t>CPU Energy per Computation</t>
  </si>
  <si>
    <r>
      <t>EPC</t>
    </r>
    <r>
      <rPr>
        <vertAlign val="subscript"/>
        <sz val="11"/>
        <color theme="1"/>
        <rFont val="Calibri"/>
        <family val="2"/>
        <scheme val="minor"/>
      </rPr>
      <t>CPU</t>
    </r>
  </si>
  <si>
    <t>Combined Energy per Computation</t>
  </si>
  <si>
    <r>
      <t>EPC</t>
    </r>
    <r>
      <rPr>
        <vertAlign val="subscript"/>
        <sz val="11"/>
        <color theme="1"/>
        <rFont val="Calibri"/>
        <family val="2"/>
        <scheme val="minor"/>
      </rPr>
      <t>Combined</t>
    </r>
  </si>
  <si>
    <t>Compaction 48-&gt;16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</si>
</sst>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0.0E+00"/>
    <numFmt numFmtId="166" formatCode="_-* #,##0.0_-;\-* #,##0.0_-;_-* &quot;-&quot;??_-;_-@_-"/>
    <numFmt numFmtId="167" formatCode="_-* #,##0.000_-;\-* #,##0.00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vertAlign val="subscript"/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1" applyNumberFormat="1" applyFont="1" applyFill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2" xfId="1" applyNumberFormat="1" applyFont="1" applyBorder="1" applyAlignment="1">
      <alignment horizontal="center"/>
    </xf>
    <xf numFmtId="164" fontId="3" fillId="0" borderId="4" xfId="1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3" fillId="0" borderId="3" xfId="1" applyNumberFormat="1" applyFont="1" applyBorder="1" applyAlignment="1">
      <alignment horizontal="center"/>
    </xf>
    <xf numFmtId="164" fontId="3" fillId="0" borderId="6" xfId="1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3" fillId="0" borderId="7" xfId="1" applyNumberFormat="1" applyFont="1" applyBorder="1" applyAlignment="1"/>
    <xf numFmtId="164" fontId="3" fillId="0" borderId="0" xfId="1" applyNumberFormat="1" applyFont="1" applyBorder="1" applyAlignment="1"/>
    <xf numFmtId="164" fontId="3" fillId="0" borderId="9" xfId="1" applyNumberFormat="1" applyFont="1" applyBorder="1" applyAlignment="1"/>
    <xf numFmtId="164" fontId="3" fillId="0" borderId="10" xfId="1" applyNumberFormat="1" applyFont="1" applyBorder="1" applyAlignment="1"/>
    <xf numFmtId="164" fontId="3" fillId="0" borderId="8" xfId="1" applyNumberFormat="1" applyFont="1" applyBorder="1" applyAlignment="1">
      <alignment horizontal="left"/>
    </xf>
    <xf numFmtId="164" fontId="3" fillId="0" borderId="8" xfId="1" applyNumberFormat="1" applyFont="1" applyBorder="1" applyAlignment="1">
      <alignment horizontal="center"/>
    </xf>
    <xf numFmtId="164" fontId="3" fillId="0" borderId="11" xfId="1" applyNumberFormat="1" applyFont="1" applyBorder="1" applyAlignment="1">
      <alignment horizontal="center"/>
    </xf>
    <xf numFmtId="164" fontId="3" fillId="0" borderId="7" xfId="1" applyNumberFormat="1" applyFont="1" applyBorder="1" applyAlignment="1">
      <alignment horizontal="left"/>
    </xf>
    <xf numFmtId="164" fontId="3" fillId="0" borderId="7" xfId="1" applyNumberFormat="1" applyFon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64" fontId="3" fillId="0" borderId="12" xfId="1" applyNumberFormat="1" applyFont="1" applyBorder="1" applyAlignment="1">
      <alignment horizontal="center"/>
    </xf>
    <xf numFmtId="164" fontId="3" fillId="0" borderId="13" xfId="1" applyNumberFormat="1" applyFont="1" applyBorder="1" applyAlignment="1">
      <alignment horizontal="center"/>
    </xf>
    <xf numFmtId="164" fontId="3" fillId="0" borderId="15" xfId="1" applyNumberFormat="1" applyFont="1" applyBorder="1" applyAlignment="1">
      <alignment horizontal="center"/>
    </xf>
    <xf numFmtId="164" fontId="3" fillId="0" borderId="16" xfId="1" applyNumberFormat="1" applyFont="1" applyBorder="1" applyAlignment="1">
      <alignment horizontal="center"/>
    </xf>
    <xf numFmtId="164" fontId="3" fillId="0" borderId="14" xfId="1" applyNumberFormat="1" applyFont="1" applyBorder="1" applyAlignment="1">
      <alignment horizontal="center"/>
    </xf>
    <xf numFmtId="164" fontId="3" fillId="0" borderId="17" xfId="1" applyNumberFormat="1" applyFont="1" applyBorder="1" applyAlignment="1">
      <alignment horizontal="center"/>
    </xf>
    <xf numFmtId="0" fontId="0" fillId="0" borderId="1" xfId="0" applyBorder="1"/>
    <xf numFmtId="0" fontId="4" fillId="0" borderId="2" xfId="0" applyFont="1" applyBorder="1"/>
    <xf numFmtId="0" fontId="0" fillId="0" borderId="3" xfId="0" applyBorder="1"/>
    <xf numFmtId="164" fontId="5" fillId="3" borderId="1" xfId="1" applyNumberFormat="1" applyFont="1" applyFill="1" applyBorder="1"/>
    <xf numFmtId="164" fontId="5" fillId="3" borderId="2" xfId="1" applyNumberFormat="1" applyFont="1" applyFill="1" applyBorder="1"/>
    <xf numFmtId="164" fontId="5" fillId="3" borderId="4" xfId="1" applyNumberFormat="1" applyFont="1" applyFill="1" applyBorder="1"/>
    <xf numFmtId="164" fontId="6" fillId="0" borderId="5" xfId="1" applyNumberFormat="1" applyFont="1" applyBorder="1"/>
    <xf numFmtId="164" fontId="6" fillId="0" borderId="2" xfId="1" applyNumberFormat="1" applyFont="1" applyBorder="1"/>
    <xf numFmtId="164" fontId="6" fillId="0" borderId="3" xfId="1" applyNumberFormat="1" applyFont="1" applyBorder="1"/>
    <xf numFmtId="164" fontId="5" fillId="0" borderId="6" xfId="1" applyNumberFormat="1" applyFont="1" applyBorder="1"/>
    <xf numFmtId="164" fontId="6" fillId="3" borderId="6" xfId="1" applyNumberFormat="1" applyFont="1" applyFill="1" applyBorder="1"/>
    <xf numFmtId="164" fontId="6" fillId="0" borderId="2" xfId="1" applyNumberFormat="1" applyFont="1" applyFill="1" applyBorder="1"/>
    <xf numFmtId="164" fontId="6" fillId="0" borderId="3" xfId="1" applyNumberFormat="1" applyFont="1" applyFill="1" applyBorder="1"/>
    <xf numFmtId="164" fontId="5" fillId="3" borderId="3" xfId="1" applyNumberFormat="1" applyFont="1" applyFill="1" applyBorder="1"/>
    <xf numFmtId="164" fontId="5" fillId="0" borderId="3" xfId="1" applyNumberFormat="1" applyFont="1" applyBorder="1"/>
    <xf numFmtId="0" fontId="0" fillId="0" borderId="7" xfId="0" applyBorder="1"/>
    <xf numFmtId="0" fontId="4" fillId="0" borderId="0" xfId="0" applyFont="1"/>
    <xf numFmtId="0" fontId="0" fillId="0" borderId="8" xfId="0" applyBorder="1"/>
    <xf numFmtId="164" fontId="5" fillId="0" borderId="7" xfId="1" applyNumberFormat="1" applyFont="1" applyBorder="1"/>
    <xf numFmtId="164" fontId="5" fillId="0" borderId="0" xfId="1" applyNumberFormat="1" applyFont="1" applyBorder="1"/>
    <xf numFmtId="164" fontId="5" fillId="0" borderId="9" xfId="1" applyNumberFormat="1" applyFont="1" applyBorder="1"/>
    <xf numFmtId="164" fontId="6" fillId="0" borderId="10" xfId="1" applyNumberFormat="1" applyFont="1" applyBorder="1"/>
    <xf numFmtId="164" fontId="6" fillId="0" borderId="0" xfId="1" applyNumberFormat="1" applyFont="1" applyBorder="1"/>
    <xf numFmtId="164" fontId="6" fillId="0" borderId="8" xfId="1" applyNumberFormat="1" applyFont="1" applyBorder="1"/>
    <xf numFmtId="164" fontId="5" fillId="0" borderId="11" xfId="1" applyNumberFormat="1" applyFont="1" applyBorder="1"/>
    <xf numFmtId="164" fontId="5" fillId="3" borderId="11" xfId="1" applyNumberFormat="1" applyFont="1" applyFill="1" applyBorder="1"/>
    <xf numFmtId="164" fontId="6" fillId="0" borderId="0" xfId="1" applyNumberFormat="1" applyFont="1" applyFill="1" applyBorder="1"/>
    <xf numFmtId="164" fontId="6" fillId="0" borderId="8" xfId="1" applyNumberFormat="1" applyFont="1" applyFill="1" applyBorder="1"/>
    <xf numFmtId="164" fontId="5" fillId="3" borderId="8" xfId="1" applyNumberFormat="1" applyFont="1" applyFill="1" applyBorder="1"/>
    <xf numFmtId="164" fontId="5" fillId="0" borderId="8" xfId="1" applyNumberFormat="1" applyFont="1" applyBorder="1"/>
    <xf numFmtId="164" fontId="6" fillId="0" borderId="7" xfId="1" applyNumberFormat="1" applyFont="1" applyFill="1" applyBorder="1"/>
    <xf numFmtId="164" fontId="6" fillId="0" borderId="9" xfId="1" applyNumberFormat="1" applyFont="1" applyBorder="1"/>
    <xf numFmtId="164" fontId="5" fillId="3" borderId="7" xfId="1" applyNumberFormat="1" applyFont="1" applyFill="1" applyBorder="1"/>
    <xf numFmtId="165" fontId="6" fillId="0" borderId="7" xfId="1" applyNumberFormat="1" applyFont="1" applyBorder="1"/>
    <xf numFmtId="165" fontId="6" fillId="0" borderId="0" xfId="1" applyNumberFormat="1" applyFont="1" applyBorder="1"/>
    <xf numFmtId="165" fontId="6" fillId="0" borderId="9" xfId="1" applyNumberFormat="1" applyFont="1" applyBorder="1"/>
    <xf numFmtId="165" fontId="6" fillId="0" borderId="10" xfId="1" applyNumberFormat="1" applyFont="1" applyBorder="1"/>
    <xf numFmtId="165" fontId="6" fillId="0" borderId="8" xfId="1" applyNumberFormat="1" applyFont="1" applyBorder="1"/>
    <xf numFmtId="164" fontId="6" fillId="0" borderId="11" xfId="1" applyNumberFormat="1" applyFont="1" applyBorder="1"/>
    <xf numFmtId="165" fontId="6" fillId="0" borderId="11" xfId="1" applyNumberFormat="1" applyFont="1" applyBorder="1"/>
    <xf numFmtId="0" fontId="7" fillId="0" borderId="0" xfId="0" applyFont="1"/>
    <xf numFmtId="164" fontId="6" fillId="0" borderId="7" xfId="1" applyNumberFormat="1" applyFont="1" applyBorder="1"/>
    <xf numFmtId="164" fontId="6" fillId="0" borderId="9" xfId="1" applyNumberFormat="1" applyFont="1" applyFill="1" applyBorder="1"/>
    <xf numFmtId="164" fontId="6" fillId="0" borderId="10" xfId="1" applyNumberFormat="1" applyFont="1" applyFill="1" applyBorder="1"/>
    <xf numFmtId="164" fontId="6" fillId="0" borderId="11" xfId="1" applyNumberFormat="1" applyFont="1" applyFill="1" applyBorder="1"/>
    <xf numFmtId="164" fontId="5" fillId="3" borderId="0" xfId="1" applyNumberFormat="1" applyFont="1" applyFill="1" applyBorder="1"/>
    <xf numFmtId="164" fontId="5" fillId="0" borderId="11" xfId="1" applyNumberFormat="1" applyFont="1" applyFill="1" applyBorder="1"/>
    <xf numFmtId="0" fontId="0" fillId="0" borderId="18" xfId="0" applyBorder="1"/>
    <xf numFmtId="0" fontId="4" fillId="0" borderId="19" xfId="0" applyFont="1" applyBorder="1"/>
    <xf numFmtId="0" fontId="0" fillId="0" borderId="20" xfId="0" applyBorder="1"/>
    <xf numFmtId="165" fontId="6" fillId="0" borderId="18" xfId="1" applyNumberFormat="1" applyFont="1" applyBorder="1"/>
    <xf numFmtId="165" fontId="6" fillId="0" borderId="19" xfId="1" applyNumberFormat="1" applyFont="1" applyFill="1" applyBorder="1"/>
    <xf numFmtId="165" fontId="6" fillId="0" borderId="21" xfId="1" applyNumberFormat="1" applyFont="1" applyFill="1" applyBorder="1"/>
    <xf numFmtId="165" fontId="6" fillId="0" borderId="22" xfId="1" applyNumberFormat="1" applyFont="1" applyFill="1" applyBorder="1"/>
    <xf numFmtId="165" fontId="6" fillId="0" borderId="20" xfId="1" applyNumberFormat="1" applyFont="1" applyFill="1" applyBorder="1"/>
    <xf numFmtId="166" fontId="6" fillId="0" borderId="20" xfId="1" applyNumberFormat="1" applyFont="1" applyFill="1" applyBorder="1"/>
    <xf numFmtId="166" fontId="6" fillId="0" borderId="23" xfId="1" applyNumberFormat="1" applyFont="1" applyFill="1" applyBorder="1"/>
    <xf numFmtId="165" fontId="6" fillId="0" borderId="23" xfId="1" applyNumberFormat="1" applyFont="1" applyFill="1" applyBorder="1"/>
    <xf numFmtId="165" fontId="6" fillId="0" borderId="18" xfId="1" applyNumberFormat="1" applyFont="1" applyFill="1" applyBorder="1"/>
    <xf numFmtId="165" fontId="2" fillId="0" borderId="7" xfId="1" applyNumberFormat="1" applyFont="1" applyBorder="1"/>
    <xf numFmtId="165" fontId="2" fillId="0" borderId="0" xfId="1" applyNumberFormat="1" applyFont="1" applyFill="1" applyBorder="1"/>
    <xf numFmtId="165" fontId="2" fillId="0" borderId="9" xfId="1" applyNumberFormat="1" applyFont="1" applyFill="1" applyBorder="1"/>
    <xf numFmtId="165" fontId="2" fillId="0" borderId="10" xfId="1" applyNumberFormat="1" applyFont="1" applyFill="1" applyBorder="1"/>
    <xf numFmtId="165" fontId="9" fillId="4" borderId="0" xfId="1" applyNumberFormat="1" applyFont="1" applyFill="1" applyBorder="1"/>
    <xf numFmtId="165" fontId="2" fillId="4" borderId="0" xfId="1" applyNumberFormat="1" applyFont="1" applyFill="1" applyBorder="1"/>
    <xf numFmtId="165" fontId="2" fillId="4" borderId="10" xfId="1" applyNumberFormat="1" applyFont="1" applyFill="1" applyBorder="1"/>
    <xf numFmtId="165" fontId="9" fillId="4" borderId="8" xfId="1" applyNumberFormat="1" applyFont="1" applyFill="1" applyBorder="1"/>
    <xf numFmtId="164" fontId="2" fillId="0" borderId="8" xfId="1" applyNumberFormat="1" applyFont="1" applyFill="1" applyBorder="1"/>
    <xf numFmtId="164" fontId="2" fillId="0" borderId="11" xfId="1" applyNumberFormat="1" applyFont="1" applyFill="1" applyBorder="1"/>
    <xf numFmtId="165" fontId="2" fillId="0" borderId="11" xfId="1" applyNumberFormat="1" applyFont="1" applyFill="1" applyBorder="1"/>
    <xf numFmtId="165" fontId="2" fillId="0" borderId="7" xfId="1" applyNumberFormat="1" applyFont="1" applyFill="1" applyBorder="1"/>
    <xf numFmtId="164" fontId="9" fillId="4" borderId="7" xfId="1" applyNumberFormat="1" applyFont="1" applyFill="1" applyBorder="1"/>
    <xf numFmtId="164" fontId="2" fillId="0" borderId="0" xfId="1" applyNumberFormat="1" applyFont="1" applyFill="1" applyBorder="1"/>
    <xf numFmtId="164" fontId="2" fillId="0" borderId="9" xfId="1" applyNumberFormat="1" applyFont="1" applyFill="1" applyBorder="1"/>
    <xf numFmtId="164" fontId="2" fillId="0" borderId="10" xfId="1" applyNumberFormat="1" applyFont="1" applyFill="1" applyBorder="1"/>
    <xf numFmtId="164" fontId="9" fillId="0" borderId="11" xfId="1" applyNumberFormat="1" applyFont="1" applyFill="1" applyBorder="1"/>
    <xf numFmtId="164" fontId="10" fillId="5" borderId="7" xfId="1" applyNumberFormat="1" applyFont="1" applyFill="1" applyBorder="1"/>
    <xf numFmtId="164" fontId="11" fillId="0" borderId="0" xfId="1" applyNumberFormat="1" applyFont="1" applyBorder="1"/>
    <xf numFmtId="164" fontId="11" fillId="0" borderId="9" xfId="1" applyNumberFormat="1" applyFont="1" applyBorder="1"/>
    <xf numFmtId="164" fontId="11" fillId="0" borderId="10" xfId="1" applyNumberFormat="1" applyFont="1" applyBorder="1"/>
    <xf numFmtId="164" fontId="11" fillId="0" borderId="8" xfId="1" applyNumberFormat="1" applyFont="1" applyBorder="1"/>
    <xf numFmtId="164" fontId="10" fillId="0" borderId="11" xfId="1" applyNumberFormat="1" applyFont="1" applyBorder="1"/>
    <xf numFmtId="164" fontId="11" fillId="0" borderId="11" xfId="1" applyNumberFormat="1" applyFont="1" applyBorder="1"/>
    <xf numFmtId="43" fontId="10" fillId="5" borderId="7" xfId="1" applyFont="1" applyFill="1" applyBorder="1"/>
    <xf numFmtId="43" fontId="11" fillId="0" borderId="0" xfId="1" applyFont="1" applyBorder="1"/>
    <xf numFmtId="43" fontId="11" fillId="0" borderId="8" xfId="1" applyFont="1" applyBorder="1"/>
    <xf numFmtId="167" fontId="10" fillId="5" borderId="11" xfId="1" applyNumberFormat="1" applyFont="1" applyFill="1" applyBorder="1"/>
    <xf numFmtId="167" fontId="11" fillId="0" borderId="11" xfId="1" applyNumberFormat="1" applyFont="1" applyBorder="1"/>
    <xf numFmtId="164" fontId="10" fillId="5" borderId="11" xfId="1" applyNumberFormat="1" applyFont="1" applyFill="1" applyBorder="1"/>
    <xf numFmtId="0" fontId="0" fillId="0" borderId="12" xfId="0" applyBorder="1"/>
    <xf numFmtId="0" fontId="0" fillId="0" borderId="14" xfId="0" applyBorder="1"/>
    <xf numFmtId="165" fontId="2" fillId="0" borderId="12" xfId="1" applyNumberFormat="1" applyFont="1" applyBorder="1"/>
    <xf numFmtId="165" fontId="2" fillId="0" borderId="13" xfId="1" applyNumberFormat="1" applyFont="1" applyBorder="1"/>
    <xf numFmtId="165" fontId="2" fillId="0" borderId="15" xfId="1" applyNumberFormat="1" applyFont="1" applyBorder="1"/>
    <xf numFmtId="165" fontId="2" fillId="0" borderId="16" xfId="1" applyNumberFormat="1" applyFont="1" applyBorder="1"/>
    <xf numFmtId="165" fontId="2" fillId="0" borderId="14" xfId="1" applyNumberFormat="1" applyFont="1" applyBorder="1"/>
    <xf numFmtId="164" fontId="2" fillId="0" borderId="14" xfId="1" applyNumberFormat="1" applyFont="1" applyBorder="1"/>
    <xf numFmtId="164" fontId="2" fillId="0" borderId="17" xfId="1" applyNumberFormat="1" applyFont="1" applyBorder="1"/>
    <xf numFmtId="164" fontId="0" fillId="0" borderId="7" xfId="1" applyNumberFormat="1" applyFont="1" applyBorder="1"/>
    <xf numFmtId="164" fontId="0" fillId="0" borderId="0" xfId="1" applyNumberFormat="1" applyFont="1" applyBorder="1"/>
    <xf numFmtId="164" fontId="0" fillId="0" borderId="9" xfId="1" applyNumberFormat="1" applyFont="1" applyBorder="1"/>
    <xf numFmtId="164" fontId="0" fillId="0" borderId="10" xfId="1" applyNumberFormat="1" applyFont="1" applyBorder="1"/>
    <xf numFmtId="164" fontId="0" fillId="0" borderId="8" xfId="1" applyNumberFormat="1" applyFont="1" applyBorder="1"/>
    <xf numFmtId="164" fontId="0" fillId="0" borderId="11" xfId="1" applyNumberFormat="1" applyFont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164" fontId="5" fillId="6" borderId="1" xfId="1" applyNumberFormat="1" applyFont="1" applyFill="1" applyBorder="1"/>
    <xf numFmtId="164" fontId="5" fillId="6" borderId="2" xfId="1" applyNumberFormat="1" applyFont="1" applyFill="1" applyBorder="1"/>
    <xf numFmtId="166" fontId="5" fillId="6" borderId="4" xfId="1" applyNumberFormat="1" applyFont="1" applyFill="1" applyBorder="1"/>
    <xf numFmtId="164" fontId="5" fillId="6" borderId="5" xfId="1" applyNumberFormat="1" applyFont="1" applyFill="1" applyBorder="1"/>
    <xf numFmtId="164" fontId="5" fillId="6" borderId="3" xfId="1" applyNumberFormat="1" applyFont="1" applyFill="1" applyBorder="1"/>
    <xf numFmtId="164" fontId="5" fillId="6" borderId="6" xfId="1" applyNumberFormat="1" applyFont="1" applyFill="1" applyBorder="1"/>
    <xf numFmtId="0" fontId="0" fillId="6" borderId="0" xfId="0" applyFill="1"/>
    <xf numFmtId="0" fontId="0" fillId="4" borderId="7" xfId="0" applyFill="1" applyBorder="1"/>
    <xf numFmtId="0" fontId="0" fillId="4" borderId="0" xfId="0" applyFill="1"/>
    <xf numFmtId="0" fontId="0" fillId="4" borderId="8" xfId="0" applyFill="1" applyBorder="1"/>
    <xf numFmtId="166" fontId="9" fillId="4" borderId="7" xfId="1" applyNumberFormat="1" applyFont="1" applyFill="1" applyBorder="1"/>
    <xf numFmtId="166" fontId="9" fillId="4" borderId="0" xfId="1" applyNumberFormat="1" applyFont="1" applyFill="1" applyBorder="1"/>
    <xf numFmtId="166" fontId="9" fillId="4" borderId="9" xfId="1" applyNumberFormat="1" applyFont="1" applyFill="1" applyBorder="1"/>
    <xf numFmtId="166" fontId="9" fillId="4" borderId="10" xfId="1" applyNumberFormat="1" applyFont="1" applyFill="1" applyBorder="1"/>
    <xf numFmtId="166" fontId="9" fillId="4" borderId="8" xfId="1" applyNumberFormat="1" applyFont="1" applyFill="1" applyBorder="1"/>
    <xf numFmtId="166" fontId="9" fillId="4" borderId="11" xfId="1" applyNumberFormat="1" applyFont="1" applyFill="1" applyBorder="1"/>
    <xf numFmtId="164" fontId="9" fillId="4" borderId="11" xfId="1" applyNumberFormat="1" applyFont="1" applyFill="1" applyBorder="1"/>
    <xf numFmtId="0" fontId="13" fillId="0" borderId="7" xfId="0" applyFont="1" applyBorder="1"/>
    <xf numFmtId="0" fontId="13" fillId="0" borderId="0" xfId="0" applyFont="1"/>
    <xf numFmtId="0" fontId="13" fillId="0" borderId="8" xfId="0" applyFont="1" applyBorder="1"/>
    <xf numFmtId="166" fontId="13" fillId="0" borderId="7" xfId="1" applyNumberFormat="1" applyFont="1" applyBorder="1"/>
    <xf numFmtId="166" fontId="13" fillId="0" borderId="0" xfId="1" applyNumberFormat="1" applyFont="1" applyBorder="1"/>
    <xf numFmtId="166" fontId="13" fillId="0" borderId="9" xfId="1" applyNumberFormat="1" applyFont="1" applyBorder="1"/>
    <xf numFmtId="166" fontId="13" fillId="0" borderId="10" xfId="1" applyNumberFormat="1" applyFont="1" applyBorder="1"/>
    <xf numFmtId="166" fontId="13" fillId="0" borderId="8" xfId="1" applyNumberFormat="1" applyFont="1" applyBorder="1"/>
    <xf numFmtId="166" fontId="13" fillId="0" borderId="11" xfId="1" applyNumberFormat="1" applyFont="1" applyBorder="1"/>
    <xf numFmtId="164" fontId="15" fillId="0" borderId="11" xfId="1" applyNumberFormat="1" applyFont="1" applyBorder="1"/>
    <xf numFmtId="0" fontId="0" fillId="5" borderId="18" xfId="0" applyFill="1" applyBorder="1"/>
    <xf numFmtId="0" fontId="0" fillId="5" borderId="19" xfId="0" applyFill="1" applyBorder="1"/>
    <xf numFmtId="0" fontId="0" fillId="5" borderId="20" xfId="0" applyFill="1" applyBorder="1"/>
    <xf numFmtId="166" fontId="10" fillId="5" borderId="18" xfId="1" applyNumberFormat="1" applyFont="1" applyFill="1" applyBorder="1"/>
    <xf numFmtId="166" fontId="10" fillId="5" borderId="19" xfId="1" applyNumberFormat="1" applyFont="1" applyFill="1" applyBorder="1"/>
    <xf numFmtId="166" fontId="10" fillId="5" borderId="21" xfId="1" applyNumberFormat="1" applyFont="1" applyFill="1" applyBorder="1"/>
    <xf numFmtId="166" fontId="10" fillId="5" borderId="22" xfId="1" applyNumberFormat="1" applyFont="1" applyFill="1" applyBorder="1"/>
    <xf numFmtId="166" fontId="10" fillId="5" borderId="20" xfId="1" applyNumberFormat="1" applyFont="1" applyFill="1" applyBorder="1"/>
    <xf numFmtId="166" fontId="10" fillId="5" borderId="23" xfId="1" applyNumberFormat="1" applyFont="1" applyFill="1" applyBorder="1"/>
    <xf numFmtId="164" fontId="10" fillId="5" borderId="23" xfId="1" applyNumberFormat="1" applyFont="1" applyFill="1" applyBorder="1"/>
    <xf numFmtId="0" fontId="0" fillId="5" borderId="0" xfId="0" applyFill="1"/>
    <xf numFmtId="0" fontId="0" fillId="6" borderId="24" xfId="0" applyFill="1" applyBorder="1"/>
    <xf numFmtId="0" fontId="0" fillId="6" borderId="25" xfId="0" applyFill="1" applyBorder="1"/>
    <xf numFmtId="0" fontId="0" fillId="6" borderId="26" xfId="0" applyFill="1" applyBorder="1"/>
    <xf numFmtId="166" fontId="5" fillId="6" borderId="24" xfId="1" applyNumberFormat="1" applyFont="1" applyFill="1" applyBorder="1"/>
    <xf numFmtId="166" fontId="5" fillId="6" borderId="25" xfId="1" applyNumberFormat="1" applyFont="1" applyFill="1" applyBorder="1"/>
    <xf numFmtId="166" fontId="5" fillId="6" borderId="27" xfId="1" applyNumberFormat="1" applyFont="1" applyFill="1" applyBorder="1"/>
    <xf numFmtId="166" fontId="5" fillId="6" borderId="28" xfId="1" applyNumberFormat="1" applyFont="1" applyFill="1" applyBorder="1"/>
    <xf numFmtId="166" fontId="5" fillId="6" borderId="26" xfId="1" applyNumberFormat="1" applyFont="1" applyFill="1" applyBorder="1"/>
    <xf numFmtId="166" fontId="5" fillId="6" borderId="29" xfId="1" applyNumberFormat="1" applyFont="1" applyFill="1" applyBorder="1"/>
    <xf numFmtId="0" fontId="0" fillId="5" borderId="7" xfId="0" applyFill="1" applyBorder="1"/>
    <xf numFmtId="0" fontId="0" fillId="5" borderId="8" xfId="0" applyFill="1" applyBorder="1"/>
    <xf numFmtId="2" fontId="10" fillId="5" borderId="7" xfId="1" applyNumberFormat="1" applyFont="1" applyFill="1" applyBorder="1"/>
    <xf numFmtId="2" fontId="10" fillId="5" borderId="0" xfId="1" applyNumberFormat="1" applyFont="1" applyFill="1" applyBorder="1"/>
    <xf numFmtId="2" fontId="10" fillId="5" borderId="9" xfId="1" applyNumberFormat="1" applyFont="1" applyFill="1" applyBorder="1"/>
    <xf numFmtId="2" fontId="10" fillId="5" borderId="10" xfId="1" applyNumberFormat="1" applyFont="1" applyFill="1" applyBorder="1"/>
    <xf numFmtId="2" fontId="10" fillId="5" borderId="8" xfId="1" applyNumberFormat="1" applyFont="1" applyFill="1" applyBorder="1"/>
    <xf numFmtId="2" fontId="10" fillId="5" borderId="11" xfId="1" applyNumberFormat="1" applyFont="1" applyFill="1" applyBorder="1"/>
    <xf numFmtId="2" fontId="9" fillId="4" borderId="7" xfId="0" applyNumberFormat="1" applyFont="1" applyFill="1" applyBorder="1"/>
    <xf numFmtId="2" fontId="9" fillId="4" borderId="0" xfId="0" applyNumberFormat="1" applyFont="1" applyFill="1"/>
    <xf numFmtId="2" fontId="9" fillId="4" borderId="9" xfId="0" applyNumberFormat="1" applyFont="1" applyFill="1" applyBorder="1"/>
    <xf numFmtId="2" fontId="9" fillId="4" borderId="10" xfId="0" applyNumberFormat="1" applyFont="1" applyFill="1" applyBorder="1"/>
    <xf numFmtId="2" fontId="9" fillId="4" borderId="8" xfId="0" applyNumberFormat="1" applyFont="1" applyFill="1" applyBorder="1"/>
    <xf numFmtId="2" fontId="9" fillId="4" borderId="11" xfId="0" applyNumberFormat="1" applyFont="1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2" fontId="10" fillId="5" borderId="12" xfId="0" applyNumberFormat="1" applyFont="1" applyFill="1" applyBorder="1"/>
    <xf numFmtId="2" fontId="10" fillId="5" borderId="13" xfId="0" applyNumberFormat="1" applyFont="1" applyFill="1" applyBorder="1"/>
    <xf numFmtId="2" fontId="10" fillId="5" borderId="15" xfId="0" applyNumberFormat="1" applyFont="1" applyFill="1" applyBorder="1"/>
    <xf numFmtId="2" fontId="10" fillId="5" borderId="16" xfId="0" applyNumberFormat="1" applyFont="1" applyFill="1" applyBorder="1"/>
    <xf numFmtId="2" fontId="10" fillId="5" borderId="14" xfId="0" applyNumberFormat="1" applyFont="1" applyFill="1" applyBorder="1"/>
    <xf numFmtId="2" fontId="10" fillId="5" borderId="17" xfId="0" applyNumberFormat="1" applyFont="1" applyFill="1" applyBorder="1"/>
    <xf numFmtId="164" fontId="0" fillId="0" borderId="0" xfId="1" applyNumberFormat="1" applyFont="1"/>
    <xf numFmtId="0" fontId="0" fillId="2" borderId="0" xfId="0" applyFill="1"/>
    <xf numFmtId="164" fontId="0" fillId="0" borderId="2" xfId="1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3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58AD0-E4EE-4DE1-9C83-E52086A6BC17}">
  <dimension ref="A1:AD31"/>
  <sheetViews>
    <sheetView tabSelected="1" workbookViewId="0">
      <selection activeCell="E8" sqref="E8"/>
    </sheetView>
  </sheetViews>
  <sheetFormatPr defaultRowHeight="15" x14ac:dyDescent="0.25"/>
  <cols>
    <col min="1" max="1" width="3.28515625" style="214" bestFit="1" customWidth="1"/>
    <col min="2" max="2" width="31" bestFit="1" customWidth="1"/>
    <col min="3" max="3" width="11.5703125" bestFit="1" customWidth="1"/>
    <col min="4" max="4" width="7.28515625" bestFit="1" customWidth="1"/>
    <col min="5" max="5" width="8.85546875" customWidth="1"/>
    <col min="6" max="7" width="8.42578125" style="213" customWidth="1"/>
    <col min="8" max="8" width="8.42578125" hidden="1" customWidth="1"/>
    <col min="9" max="9" width="8.85546875" customWidth="1"/>
    <col min="10" max="11" width="8.42578125" hidden="1" customWidth="1"/>
    <col min="12" max="12" width="8.85546875" customWidth="1"/>
    <col min="13" max="14" width="8.42578125" hidden="1" customWidth="1"/>
    <col min="15" max="15" width="8.85546875" customWidth="1"/>
    <col min="16" max="16" width="8.42578125" hidden="1" customWidth="1"/>
    <col min="17" max="17" width="2.85546875" customWidth="1"/>
    <col min="18" max="22" width="8.85546875" customWidth="1"/>
    <col min="24" max="24" width="2.42578125" customWidth="1"/>
    <col min="26" max="26" width="7.28515625" customWidth="1"/>
    <col min="28" max="28" width="13.28515625" bestFit="1" customWidth="1"/>
  </cols>
  <sheetData>
    <row r="1" spans="1:30" s="1" customFormat="1" x14ac:dyDescent="0.25"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2"/>
      <c r="I1" s="2" t="s">
        <v>6</v>
      </c>
      <c r="J1" s="2"/>
      <c r="K1" s="2"/>
      <c r="L1" s="2" t="s">
        <v>7</v>
      </c>
      <c r="M1" s="2"/>
      <c r="N1" s="2"/>
      <c r="O1" s="2" t="s">
        <v>8</v>
      </c>
      <c r="P1" s="2"/>
      <c r="Q1" s="2" t="s">
        <v>9</v>
      </c>
      <c r="R1" s="2" t="s">
        <v>10</v>
      </c>
      <c r="S1" s="2" t="s">
        <v>11</v>
      </c>
      <c r="T1" s="2" t="s">
        <v>12</v>
      </c>
      <c r="U1" s="2" t="s">
        <v>13</v>
      </c>
      <c r="V1" s="2" t="s">
        <v>14</v>
      </c>
      <c r="W1" s="2" t="s">
        <v>15</v>
      </c>
      <c r="X1" s="2" t="s">
        <v>16</v>
      </c>
      <c r="Y1" s="2" t="s">
        <v>17</v>
      </c>
      <c r="AD1" s="2" t="s">
        <v>17</v>
      </c>
    </row>
    <row r="2" spans="1:30" s="1" customFormat="1" ht="15.75" thickBot="1" x14ac:dyDescent="0.3">
      <c r="A2" s="2">
        <v>1</v>
      </c>
      <c r="E2" s="1" t="s">
        <v>18</v>
      </c>
      <c r="F2" s="4" t="s">
        <v>19</v>
      </c>
      <c r="G2" s="4" t="s">
        <v>20</v>
      </c>
      <c r="I2" s="1" t="s">
        <v>21</v>
      </c>
      <c r="L2" s="1" t="s">
        <v>22</v>
      </c>
      <c r="O2" s="1" t="s">
        <v>23</v>
      </c>
      <c r="R2" s="1">
        <v>2</v>
      </c>
      <c r="S2" s="1" t="s">
        <v>24</v>
      </c>
      <c r="T2" s="1" t="s">
        <v>25</v>
      </c>
      <c r="U2" s="1" t="s">
        <v>26</v>
      </c>
      <c r="V2" s="1" t="s">
        <v>27</v>
      </c>
      <c r="W2" s="1">
        <v>4</v>
      </c>
      <c r="Y2" s="1">
        <v>4</v>
      </c>
      <c r="Z2" s="1" t="s">
        <v>28</v>
      </c>
      <c r="AD2" s="1">
        <v>4</v>
      </c>
    </row>
    <row r="3" spans="1:30" s="1" customFormat="1" x14ac:dyDescent="0.25">
      <c r="A3" s="2">
        <v>2</v>
      </c>
      <c r="B3" s="5"/>
      <c r="C3" s="6"/>
      <c r="D3" s="7"/>
      <c r="E3" s="8"/>
      <c r="F3" s="9"/>
      <c r="G3" s="10"/>
      <c r="H3" s="11"/>
      <c r="I3" s="9" t="s">
        <v>29</v>
      </c>
      <c r="J3" s="9"/>
      <c r="K3" s="11"/>
      <c r="L3" s="9"/>
      <c r="M3" s="9"/>
      <c r="N3" s="11"/>
      <c r="O3" s="12"/>
      <c r="P3" s="12"/>
      <c r="Q3" s="13"/>
      <c r="R3" s="13" t="s">
        <v>30</v>
      </c>
      <c r="S3" s="14" t="s">
        <v>31</v>
      </c>
      <c r="T3" s="9" t="s">
        <v>31</v>
      </c>
      <c r="U3" s="9" t="s">
        <v>31</v>
      </c>
      <c r="V3" s="12" t="s">
        <v>31</v>
      </c>
      <c r="W3" s="12" t="s">
        <v>32</v>
      </c>
      <c r="X3" s="12"/>
      <c r="Y3" s="12" t="s">
        <v>32</v>
      </c>
      <c r="Z3" s="1">
        <v>1</v>
      </c>
      <c r="AA3" s="1">
        <v>16</v>
      </c>
      <c r="AD3" s="12" t="s">
        <v>32</v>
      </c>
    </row>
    <row r="4" spans="1:30" s="1" customFormat="1" x14ac:dyDescent="0.25">
      <c r="A4" s="2">
        <v>3</v>
      </c>
      <c r="B4" s="15"/>
      <c r="D4" s="16"/>
      <c r="E4" s="17"/>
      <c r="F4" s="18" t="s">
        <v>33</v>
      </c>
      <c r="G4" s="19"/>
      <c r="H4" s="20"/>
      <c r="I4" s="18" t="s">
        <v>34</v>
      </c>
      <c r="J4" s="18"/>
      <c r="K4" s="20"/>
      <c r="L4" s="18" t="s">
        <v>35</v>
      </c>
      <c r="M4" s="18"/>
      <c r="N4" s="20"/>
      <c r="O4" s="21" t="s">
        <v>36</v>
      </c>
      <c r="P4" s="22"/>
      <c r="Q4" s="23"/>
      <c r="R4" s="24" t="s">
        <v>37</v>
      </c>
      <c r="S4" s="25" t="s">
        <v>33</v>
      </c>
      <c r="T4" s="26" t="s">
        <v>34</v>
      </c>
      <c r="U4" s="26" t="s">
        <v>35</v>
      </c>
      <c r="V4" s="22" t="s">
        <v>36</v>
      </c>
      <c r="W4" s="22" t="s">
        <v>34</v>
      </c>
      <c r="X4" s="22"/>
      <c r="Y4" s="22" t="s">
        <v>34</v>
      </c>
      <c r="Z4" s="1">
        <v>2</v>
      </c>
      <c r="AA4" s="1">
        <v>16</v>
      </c>
      <c r="AD4" s="22" t="s">
        <v>34</v>
      </c>
    </row>
    <row r="5" spans="1:30" s="1" customFormat="1" ht="15.75" thickBot="1" x14ac:dyDescent="0.3">
      <c r="A5" s="2">
        <v>4</v>
      </c>
      <c r="B5" s="27" t="s">
        <v>38</v>
      </c>
      <c r="C5" s="28" t="s">
        <v>39</v>
      </c>
      <c r="D5" s="29" t="s">
        <v>40</v>
      </c>
      <c r="E5" s="30" t="s">
        <v>41</v>
      </c>
      <c r="F5" s="31" t="s">
        <v>42</v>
      </c>
      <c r="G5" s="32" t="s">
        <v>43</v>
      </c>
      <c r="H5" s="33" t="s">
        <v>44</v>
      </c>
      <c r="I5" s="31" t="s">
        <v>42</v>
      </c>
      <c r="J5" s="31" t="s">
        <v>45</v>
      </c>
      <c r="K5" s="33" t="s">
        <v>44</v>
      </c>
      <c r="L5" s="31" t="s">
        <v>42</v>
      </c>
      <c r="M5" s="31" t="s">
        <v>45</v>
      </c>
      <c r="N5" s="33" t="s">
        <v>44</v>
      </c>
      <c r="O5" s="34" t="s">
        <v>42</v>
      </c>
      <c r="P5" s="34" t="s">
        <v>45</v>
      </c>
      <c r="Q5" s="35"/>
      <c r="R5" s="35" t="s">
        <v>42</v>
      </c>
      <c r="S5" s="30" t="s">
        <v>46</v>
      </c>
      <c r="T5" s="31" t="s">
        <v>46</v>
      </c>
      <c r="U5" s="31" t="s">
        <v>46</v>
      </c>
      <c r="V5" s="34" t="s">
        <v>46</v>
      </c>
      <c r="W5" s="34" t="s">
        <v>42</v>
      </c>
      <c r="X5" s="34"/>
      <c r="Y5" s="34" t="s">
        <v>42</v>
      </c>
      <c r="Z5" s="1">
        <v>3</v>
      </c>
      <c r="AA5" s="1">
        <v>32</v>
      </c>
      <c r="AB5" s="1" t="s">
        <v>47</v>
      </c>
      <c r="AC5" s="1" t="s">
        <v>48</v>
      </c>
      <c r="AD5" s="34"/>
    </row>
    <row r="6" spans="1:30" x14ac:dyDescent="0.25">
      <c r="A6" s="2">
        <v>5</v>
      </c>
      <c r="B6" s="36" t="s">
        <v>49</v>
      </c>
      <c r="C6" s="37" t="s">
        <v>50</v>
      </c>
      <c r="D6" s="38" t="s">
        <v>51</v>
      </c>
      <c r="E6" s="39">
        <f>2*$AA$3</f>
        <v>32</v>
      </c>
      <c r="F6" s="40">
        <f>9*$AA$3</f>
        <v>144</v>
      </c>
      <c r="G6" s="41">
        <v>6400</v>
      </c>
      <c r="H6" s="42">
        <v>32</v>
      </c>
      <c r="I6" s="43">
        <f t="shared" ref="I6:O6" si="0">9*$AA$3</f>
        <v>144</v>
      </c>
      <c r="J6" s="43">
        <f t="shared" si="0"/>
        <v>144</v>
      </c>
      <c r="K6" s="42">
        <f t="shared" si="0"/>
        <v>144</v>
      </c>
      <c r="L6" s="43">
        <f t="shared" si="0"/>
        <v>144</v>
      </c>
      <c r="M6" s="43">
        <f t="shared" si="0"/>
        <v>144</v>
      </c>
      <c r="N6" s="42">
        <f t="shared" si="0"/>
        <v>144</v>
      </c>
      <c r="O6" s="44">
        <f t="shared" si="0"/>
        <v>144</v>
      </c>
      <c r="P6" s="44">
        <f>6.25*16^2</f>
        <v>1600</v>
      </c>
      <c r="Q6" s="45"/>
      <c r="R6" s="46">
        <f>9*$AA$4</f>
        <v>144</v>
      </c>
      <c r="S6" s="39">
        <f>10*$AA$5</f>
        <v>320</v>
      </c>
      <c r="T6" s="47">
        <f t="shared" ref="T6:V6" si="1">10*$AA$5</f>
        <v>320</v>
      </c>
      <c r="U6" s="47">
        <f t="shared" si="1"/>
        <v>320</v>
      </c>
      <c r="V6" s="48">
        <f t="shared" si="1"/>
        <v>320</v>
      </c>
      <c r="W6" s="49">
        <f>LOG(W10,2)*9*$AA$6</f>
        <v>1440</v>
      </c>
      <c r="X6" s="50"/>
      <c r="Y6" s="49">
        <f>LOG(Y10,2)*9*$AA$6</f>
        <v>1728</v>
      </c>
      <c r="Z6" s="1">
        <v>4</v>
      </c>
      <c r="AA6" s="1">
        <v>16</v>
      </c>
      <c r="AB6" t="s">
        <v>52</v>
      </c>
      <c r="AC6" t="s">
        <v>53</v>
      </c>
      <c r="AD6" s="49">
        <v>205000</v>
      </c>
    </row>
    <row r="7" spans="1:30" x14ac:dyDescent="0.25">
      <c r="A7" s="2">
        <v>6</v>
      </c>
      <c r="B7" s="51" t="s">
        <v>54</v>
      </c>
      <c r="C7" s="52" t="s">
        <v>55</v>
      </c>
      <c r="D7" s="53" t="s">
        <v>51</v>
      </c>
      <c r="E7" s="54">
        <v>0</v>
      </c>
      <c r="F7" s="55">
        <v>0</v>
      </c>
      <c r="G7" s="56">
        <v>0</v>
      </c>
      <c r="H7" s="57">
        <v>0</v>
      </c>
      <c r="I7" s="58">
        <v>0</v>
      </c>
      <c r="J7" s="58">
        <v>0</v>
      </c>
      <c r="K7" s="57">
        <v>0</v>
      </c>
      <c r="L7" s="58">
        <v>0</v>
      </c>
      <c r="M7" s="58">
        <v>0</v>
      </c>
      <c r="N7" s="57">
        <v>0</v>
      </c>
      <c r="O7" s="59">
        <v>0</v>
      </c>
      <c r="P7" s="59">
        <v>0</v>
      </c>
      <c r="Q7" s="60"/>
      <c r="R7" s="61">
        <v>512</v>
      </c>
      <c r="S7" s="54">
        <v>0</v>
      </c>
      <c r="T7" s="62">
        <v>0</v>
      </c>
      <c r="U7" s="62">
        <v>0</v>
      </c>
      <c r="V7" s="63">
        <v>0</v>
      </c>
      <c r="W7" s="64">
        <f>10*16+1024-1</f>
        <v>1183</v>
      </c>
      <c r="X7" s="65"/>
      <c r="Y7" s="64">
        <f>10*16+1024-1</f>
        <v>1183</v>
      </c>
      <c r="AB7" t="s">
        <v>56</v>
      </c>
      <c r="AC7" t="s">
        <v>57</v>
      </c>
      <c r="AD7" s="64">
        <v>0</v>
      </c>
    </row>
    <row r="8" spans="1:30" x14ac:dyDescent="0.25">
      <c r="A8" s="2">
        <v>7</v>
      </c>
      <c r="B8" s="51" t="s">
        <v>58</v>
      </c>
      <c r="C8" s="52" t="s">
        <v>59</v>
      </c>
      <c r="D8" s="53" t="s">
        <v>51</v>
      </c>
      <c r="E8" s="66">
        <f t="shared" ref="E8:P8" si="2">E7+E6</f>
        <v>32</v>
      </c>
      <c r="F8" s="58">
        <f t="shared" si="2"/>
        <v>144</v>
      </c>
      <c r="G8" s="67">
        <f t="shared" si="2"/>
        <v>6400</v>
      </c>
      <c r="H8" s="57">
        <f t="shared" si="2"/>
        <v>32</v>
      </c>
      <c r="I8" s="58">
        <f t="shared" si="2"/>
        <v>144</v>
      </c>
      <c r="J8" s="58">
        <f t="shared" si="2"/>
        <v>144</v>
      </c>
      <c r="K8" s="57">
        <f t="shared" si="2"/>
        <v>144</v>
      </c>
      <c r="L8" s="58">
        <f t="shared" si="2"/>
        <v>144</v>
      </c>
      <c r="M8" s="58">
        <f t="shared" si="2"/>
        <v>144</v>
      </c>
      <c r="N8" s="57">
        <f t="shared" si="2"/>
        <v>144</v>
      </c>
      <c r="O8" s="59">
        <f t="shared" si="2"/>
        <v>144</v>
      </c>
      <c r="P8" s="59">
        <f t="shared" si="2"/>
        <v>1600</v>
      </c>
      <c r="Q8" s="60"/>
      <c r="R8" s="68">
        <f t="shared" ref="R8:W8" si="3">R7+R6</f>
        <v>656</v>
      </c>
      <c r="S8" s="68">
        <f t="shared" si="3"/>
        <v>320</v>
      </c>
      <c r="T8" s="62">
        <f t="shared" si="3"/>
        <v>320</v>
      </c>
      <c r="U8" s="62">
        <f t="shared" si="3"/>
        <v>320</v>
      </c>
      <c r="V8" s="63">
        <f t="shared" si="3"/>
        <v>320</v>
      </c>
      <c r="W8" s="64">
        <f t="shared" si="3"/>
        <v>2623</v>
      </c>
      <c r="X8" s="65"/>
      <c r="Y8" s="64">
        <v>4200</v>
      </c>
      <c r="AB8" t="s">
        <v>52</v>
      </c>
      <c r="AC8" t="s">
        <v>60</v>
      </c>
      <c r="AD8" s="64">
        <f>AD6+AD7</f>
        <v>205000</v>
      </c>
    </row>
    <row r="9" spans="1:30" x14ac:dyDescent="0.25">
      <c r="A9" s="2">
        <v>8</v>
      </c>
      <c r="B9" s="51" t="s">
        <v>61</v>
      </c>
      <c r="C9" s="52" t="s">
        <v>62</v>
      </c>
      <c r="D9" s="53" t="s">
        <v>63</v>
      </c>
      <c r="E9" s="69">
        <v>1E-8</v>
      </c>
      <c r="F9" s="70">
        <v>1E-8</v>
      </c>
      <c r="G9" s="71">
        <v>1E-8</v>
      </c>
      <c r="H9" s="72">
        <v>1E-8</v>
      </c>
      <c r="I9" s="70">
        <v>1E-8</v>
      </c>
      <c r="J9" s="70">
        <v>1E-8</v>
      </c>
      <c r="K9" s="72">
        <v>1E-8</v>
      </c>
      <c r="L9" s="70">
        <v>1E-8</v>
      </c>
      <c r="M9" s="70">
        <v>1E-8</v>
      </c>
      <c r="N9" s="72">
        <v>1E-8</v>
      </c>
      <c r="O9" s="73">
        <v>1E-8</v>
      </c>
      <c r="P9" s="59">
        <v>10</v>
      </c>
      <c r="Q9" s="74"/>
      <c r="R9" s="75">
        <v>1E-8</v>
      </c>
      <c r="S9" s="69">
        <v>1E-8</v>
      </c>
      <c r="T9" s="70">
        <v>1E-8</v>
      </c>
      <c r="U9" s="70">
        <v>1E-8</v>
      </c>
      <c r="V9" s="73">
        <v>1E-8</v>
      </c>
      <c r="W9" s="75">
        <v>1E-8</v>
      </c>
      <c r="X9" s="75"/>
      <c r="Y9" s="75">
        <v>1E-8</v>
      </c>
      <c r="Z9">
        <f>1024*1024/656</f>
        <v>1598.439024390244</v>
      </c>
      <c r="AB9" t="s">
        <v>64</v>
      </c>
      <c r="AC9" t="s">
        <v>65</v>
      </c>
      <c r="AD9" s="75">
        <v>1E-8</v>
      </c>
    </row>
    <row r="10" spans="1:30" x14ac:dyDescent="0.25">
      <c r="A10" s="2">
        <v>9</v>
      </c>
      <c r="B10" s="51" t="s">
        <v>66</v>
      </c>
      <c r="C10" s="76" t="s">
        <v>10</v>
      </c>
      <c r="D10" s="53" t="s">
        <v>67</v>
      </c>
      <c r="E10" s="77">
        <v>1024</v>
      </c>
      <c r="F10" s="62">
        <f>E10</f>
        <v>1024</v>
      </c>
      <c r="G10" s="78">
        <f>E10</f>
        <v>1024</v>
      </c>
      <c r="H10" s="79">
        <v>1024</v>
      </c>
      <c r="I10" s="62">
        <v>1024</v>
      </c>
      <c r="J10" s="62">
        <v>1024</v>
      </c>
      <c r="K10" s="79">
        <v>1024</v>
      </c>
      <c r="L10" s="62">
        <v>1024</v>
      </c>
      <c r="M10" s="62">
        <v>1024</v>
      </c>
      <c r="N10" s="79">
        <v>1024</v>
      </c>
      <c r="O10" s="63">
        <v>1024</v>
      </c>
      <c r="P10" s="63">
        <v>1024</v>
      </c>
      <c r="Q10" s="80"/>
      <c r="R10" s="80">
        <v>1024</v>
      </c>
      <c r="S10" s="66">
        <v>1024</v>
      </c>
      <c r="T10" s="62">
        <v>1024</v>
      </c>
      <c r="U10" s="62">
        <v>1024</v>
      </c>
      <c r="V10" s="63">
        <v>1024</v>
      </c>
      <c r="W10" s="80">
        <v>1024</v>
      </c>
      <c r="X10" s="80"/>
      <c r="Y10" s="80">
        <v>4096</v>
      </c>
      <c r="AB10" t="s">
        <v>68</v>
      </c>
      <c r="AC10" t="s">
        <v>69</v>
      </c>
      <c r="AD10" s="80">
        <v>1024</v>
      </c>
    </row>
    <row r="11" spans="1:30" x14ac:dyDescent="0.25">
      <c r="A11" s="2">
        <v>10</v>
      </c>
      <c r="B11" s="51" t="s">
        <v>70</v>
      </c>
      <c r="C11" s="52" t="s">
        <v>71</v>
      </c>
      <c r="D11" s="53" t="s">
        <v>67</v>
      </c>
      <c r="E11" s="77">
        <v>8192</v>
      </c>
      <c r="F11" s="62">
        <f>E11</f>
        <v>8192</v>
      </c>
      <c r="G11" s="78">
        <f>E11</f>
        <v>8192</v>
      </c>
      <c r="H11" s="79">
        <f>1024*16</f>
        <v>16384</v>
      </c>
      <c r="I11" s="81">
        <f t="shared" ref="I11:P11" si="4">1024*16</f>
        <v>16384</v>
      </c>
      <c r="J11" s="62">
        <f t="shared" si="4"/>
        <v>16384</v>
      </c>
      <c r="K11" s="79">
        <v>1024</v>
      </c>
      <c r="L11" s="62">
        <v>1024</v>
      </c>
      <c r="M11" s="62">
        <v>1024</v>
      </c>
      <c r="N11" s="79">
        <f>1024*16</f>
        <v>16384</v>
      </c>
      <c r="O11" s="64">
        <f t="shared" si="4"/>
        <v>16384</v>
      </c>
      <c r="P11" s="63">
        <f t="shared" si="4"/>
        <v>16384</v>
      </c>
      <c r="Q11" s="80"/>
      <c r="R11" s="80">
        <v>1024</v>
      </c>
      <c r="S11" s="66">
        <v>1024</v>
      </c>
      <c r="T11" s="81">
        <f>1024*16</f>
        <v>16384</v>
      </c>
      <c r="U11" s="62">
        <v>1024</v>
      </c>
      <c r="V11" s="64">
        <f>1024*16</f>
        <v>16384</v>
      </c>
      <c r="W11" s="82">
        <f>1024*16</f>
        <v>16384</v>
      </c>
      <c r="X11" s="82"/>
      <c r="Y11" s="82">
        <v>1024</v>
      </c>
      <c r="AB11" t="s">
        <v>72</v>
      </c>
      <c r="AC11" t="s">
        <v>73</v>
      </c>
      <c r="AD11" s="82">
        <f>2^16</f>
        <v>65536</v>
      </c>
    </row>
    <row r="12" spans="1:30" ht="18" x14ac:dyDescent="0.35">
      <c r="A12" s="2">
        <v>11</v>
      </c>
      <c r="B12" s="83" t="s">
        <v>74</v>
      </c>
      <c r="C12" s="84" t="s">
        <v>75</v>
      </c>
      <c r="D12" s="85" t="s">
        <v>76</v>
      </c>
      <c r="E12" s="86">
        <v>1E-13</v>
      </c>
      <c r="F12" s="87">
        <v>1E-13</v>
      </c>
      <c r="G12" s="88">
        <v>1E-13</v>
      </c>
      <c r="H12" s="89">
        <v>1E-13</v>
      </c>
      <c r="I12" s="87">
        <v>1E-13</v>
      </c>
      <c r="J12" s="87">
        <v>1E-13</v>
      </c>
      <c r="K12" s="89">
        <v>1E-13</v>
      </c>
      <c r="L12" s="87">
        <v>1E-13</v>
      </c>
      <c r="M12" s="87">
        <v>1E-13</v>
      </c>
      <c r="N12" s="89">
        <v>1E-13</v>
      </c>
      <c r="O12" s="90">
        <v>1E-13</v>
      </c>
      <c r="P12" s="91">
        <v>0.1</v>
      </c>
      <c r="Q12" s="92"/>
      <c r="R12" s="93">
        <v>1E-13</v>
      </c>
      <c r="S12" s="94">
        <v>1E-13</v>
      </c>
      <c r="T12" s="87">
        <v>1E-13</v>
      </c>
      <c r="U12" s="87">
        <v>1E-13</v>
      </c>
      <c r="V12" s="90">
        <v>1E-13</v>
      </c>
      <c r="W12" s="93">
        <v>1E-13</v>
      </c>
      <c r="X12" s="93"/>
      <c r="Y12" s="93">
        <v>1E-13</v>
      </c>
      <c r="AB12" t="s">
        <v>77</v>
      </c>
      <c r="AC12" t="s">
        <v>78</v>
      </c>
      <c r="AD12" s="93">
        <v>1E-13</v>
      </c>
    </row>
    <row r="13" spans="1:30" x14ac:dyDescent="0.25">
      <c r="A13" s="2">
        <v>12</v>
      </c>
      <c r="B13" s="51" t="s">
        <v>79</v>
      </c>
      <c r="C13" s="52" t="s">
        <v>80</v>
      </c>
      <c r="D13" s="53" t="s">
        <v>81</v>
      </c>
      <c r="E13" s="95">
        <v>6000000000000</v>
      </c>
      <c r="F13" s="96">
        <f>E13</f>
        <v>6000000000000</v>
      </c>
      <c r="G13" s="97">
        <f>F13</f>
        <v>6000000000000</v>
      </c>
      <c r="H13" s="98">
        <v>1000000000000</v>
      </c>
      <c r="I13" s="96">
        <v>1000000000000</v>
      </c>
      <c r="J13" s="96">
        <v>1000000000000</v>
      </c>
      <c r="K13" s="98">
        <v>1000000000000</v>
      </c>
      <c r="L13" s="99">
        <v>16000000000000</v>
      </c>
      <c r="M13" s="100">
        <v>1000000000000</v>
      </c>
      <c r="N13" s="101">
        <v>1000000000000</v>
      </c>
      <c r="O13" s="102">
        <v>16000000000000</v>
      </c>
      <c r="P13" s="103">
        <v>16000</v>
      </c>
      <c r="Q13" s="104"/>
      <c r="R13" s="105">
        <v>1000000000000</v>
      </c>
      <c r="S13" s="106">
        <v>1000000000000</v>
      </c>
      <c r="T13" s="96">
        <v>1000000000000</v>
      </c>
      <c r="U13" s="99">
        <v>16000000000000</v>
      </c>
      <c r="V13" s="102">
        <v>16000000000000</v>
      </c>
      <c r="W13" s="105">
        <v>1000000000000</v>
      </c>
      <c r="X13" s="105"/>
      <c r="Y13" s="105">
        <v>1000000000000</v>
      </c>
      <c r="AB13" t="s">
        <v>82</v>
      </c>
      <c r="AC13" t="s">
        <v>83</v>
      </c>
      <c r="AD13" s="105">
        <v>1000000000000</v>
      </c>
    </row>
    <row r="14" spans="1:30" ht="18" x14ac:dyDescent="0.35">
      <c r="A14" s="2">
        <v>13</v>
      </c>
      <c r="B14" s="51" t="s">
        <v>84</v>
      </c>
      <c r="C14" s="52" t="s">
        <v>85</v>
      </c>
      <c r="D14" s="53" t="s">
        <v>86</v>
      </c>
      <c r="E14" s="107">
        <f>3*$AA$3</f>
        <v>48</v>
      </c>
      <c r="F14" s="108">
        <f t="shared" ref="F14:O14" si="5">3*$AA$3</f>
        <v>48</v>
      </c>
      <c r="G14" s="109">
        <v>96</v>
      </c>
      <c r="H14" s="110">
        <f t="shared" si="5"/>
        <v>48</v>
      </c>
      <c r="I14" s="108">
        <f t="shared" si="5"/>
        <v>48</v>
      </c>
      <c r="J14" s="108">
        <f t="shared" si="5"/>
        <v>48</v>
      </c>
      <c r="K14" s="110">
        <f t="shared" si="5"/>
        <v>48</v>
      </c>
      <c r="L14" s="108">
        <f t="shared" si="5"/>
        <v>48</v>
      </c>
      <c r="M14" s="108">
        <f t="shared" si="5"/>
        <v>48</v>
      </c>
      <c r="N14" s="110">
        <f t="shared" si="5"/>
        <v>48</v>
      </c>
      <c r="O14" s="103">
        <f t="shared" si="5"/>
        <v>48</v>
      </c>
      <c r="P14" s="103">
        <v>48</v>
      </c>
      <c r="Q14" s="111"/>
      <c r="R14" s="104">
        <f>3*$AA$3</f>
        <v>48</v>
      </c>
      <c r="S14" s="107">
        <v>200</v>
      </c>
      <c r="T14" s="108">
        <v>200</v>
      </c>
      <c r="U14" s="108">
        <v>200</v>
      </c>
      <c r="V14" s="103">
        <v>200</v>
      </c>
      <c r="W14" s="104">
        <f>1*$AA$6</f>
        <v>16</v>
      </c>
      <c r="X14" s="104"/>
      <c r="Y14" s="104">
        <v>32</v>
      </c>
      <c r="AB14" t="s">
        <v>87</v>
      </c>
      <c r="AC14" t="s">
        <v>88</v>
      </c>
      <c r="AD14" s="104">
        <v>32</v>
      </c>
    </row>
    <row r="15" spans="1:30" ht="18" x14ac:dyDescent="0.35">
      <c r="A15" s="2">
        <v>14</v>
      </c>
      <c r="B15" s="51" t="s">
        <v>89</v>
      </c>
      <c r="C15" s="52" t="s">
        <v>90</v>
      </c>
      <c r="D15" s="53" t="s">
        <v>86</v>
      </c>
      <c r="E15" s="112">
        <f>1*$AA$3</f>
        <v>16</v>
      </c>
      <c r="F15" s="113">
        <f t="shared" ref="F15:O15" si="6">1*$AA$3</f>
        <v>16</v>
      </c>
      <c r="G15" s="114">
        <v>32</v>
      </c>
      <c r="H15" s="115">
        <f t="shared" si="6"/>
        <v>16</v>
      </c>
      <c r="I15" s="113">
        <f t="shared" si="6"/>
        <v>16</v>
      </c>
      <c r="J15" s="113">
        <f t="shared" si="6"/>
        <v>16</v>
      </c>
      <c r="K15" s="115">
        <f t="shared" si="6"/>
        <v>16</v>
      </c>
      <c r="L15" s="113">
        <f t="shared" si="6"/>
        <v>16</v>
      </c>
      <c r="M15" s="113">
        <f t="shared" si="6"/>
        <v>16</v>
      </c>
      <c r="N15" s="115">
        <f t="shared" si="6"/>
        <v>16</v>
      </c>
      <c r="O15" s="116">
        <f t="shared" si="6"/>
        <v>16</v>
      </c>
      <c r="P15" s="116">
        <v>16</v>
      </c>
      <c r="Q15" s="117"/>
      <c r="R15" s="118">
        <f>1*$AA$3</f>
        <v>16</v>
      </c>
      <c r="S15" s="119">
        <f>(S14*1%+1)</f>
        <v>3</v>
      </c>
      <c r="T15" s="120">
        <f t="shared" ref="T15:V15" si="7">(T14*1%+1)</f>
        <v>3</v>
      </c>
      <c r="U15" s="120">
        <f t="shared" si="7"/>
        <v>3</v>
      </c>
      <c r="V15" s="121">
        <f t="shared" si="7"/>
        <v>3</v>
      </c>
      <c r="W15" s="122">
        <f>16/W10</f>
        <v>1.5625E-2</v>
      </c>
      <c r="X15" s="123"/>
      <c r="Y15" s="122">
        <f>16/Y10</f>
        <v>3.90625E-3</v>
      </c>
      <c r="AB15" t="s">
        <v>87</v>
      </c>
      <c r="AC15" t="s">
        <v>88</v>
      </c>
      <c r="AD15" s="124">
        <v>16</v>
      </c>
    </row>
    <row r="16" spans="1:30" ht="18.75" thickBot="1" x14ac:dyDescent="0.4">
      <c r="A16" s="2">
        <v>15</v>
      </c>
      <c r="B16" s="125" t="s">
        <v>91</v>
      </c>
      <c r="C16" s="84" t="s">
        <v>92</v>
      </c>
      <c r="D16" s="126" t="s">
        <v>76</v>
      </c>
      <c r="E16" s="127">
        <v>1.5E-11</v>
      </c>
      <c r="F16" s="128">
        <v>1.5E-11</v>
      </c>
      <c r="G16" s="129">
        <v>1.5E-11</v>
      </c>
      <c r="H16" s="130">
        <v>1.5E-11</v>
      </c>
      <c r="I16" s="128">
        <v>1.5E-11</v>
      </c>
      <c r="J16" s="128">
        <v>1.5E-11</v>
      </c>
      <c r="K16" s="130">
        <v>1.5E-11</v>
      </c>
      <c r="L16" s="128">
        <v>1.5E-11</v>
      </c>
      <c r="M16" s="128">
        <v>1.5E-11</v>
      </c>
      <c r="N16" s="130">
        <v>1.5E-11</v>
      </c>
      <c r="O16" s="131">
        <v>1.5E-11</v>
      </c>
      <c r="P16" s="132">
        <v>15</v>
      </c>
      <c r="Q16" s="133"/>
      <c r="R16" s="127">
        <v>1.5E-11</v>
      </c>
      <c r="S16" s="127">
        <v>1.5E-11</v>
      </c>
      <c r="T16" s="128">
        <v>1.5E-11</v>
      </c>
      <c r="U16" s="128">
        <v>1.5E-11</v>
      </c>
      <c r="V16" s="131">
        <v>1.5E-11</v>
      </c>
      <c r="W16" s="131">
        <v>1.5E-11</v>
      </c>
      <c r="X16" s="131"/>
      <c r="Y16" s="131">
        <v>1.5E-11</v>
      </c>
      <c r="AB16" t="s">
        <v>93</v>
      </c>
      <c r="AC16" t="s">
        <v>78</v>
      </c>
      <c r="AD16" s="131">
        <v>1.5E-11</v>
      </c>
    </row>
    <row r="17" spans="1:30" x14ac:dyDescent="0.25">
      <c r="A17" s="2">
        <v>16</v>
      </c>
      <c r="B17" s="51"/>
      <c r="D17" s="53"/>
      <c r="E17" s="134"/>
      <c r="F17" s="135"/>
      <c r="G17" s="136"/>
      <c r="H17" s="137"/>
      <c r="I17" s="135"/>
      <c r="J17" s="135"/>
      <c r="K17" s="137"/>
      <c r="L17" s="135"/>
      <c r="M17" s="135"/>
      <c r="N17" s="137"/>
      <c r="O17" s="138"/>
      <c r="P17" s="138"/>
      <c r="Q17" s="139"/>
      <c r="R17" s="139"/>
      <c r="S17" s="134"/>
      <c r="T17" s="135"/>
      <c r="U17" s="135"/>
      <c r="V17" s="138"/>
      <c r="W17" s="139"/>
      <c r="X17" s="139"/>
      <c r="Y17" s="139"/>
      <c r="AD17" s="139"/>
    </row>
    <row r="18" spans="1:30" ht="15.75" thickBot="1" x14ac:dyDescent="0.3">
      <c r="A18" s="2">
        <v>17</v>
      </c>
      <c r="B18" s="15" t="s">
        <v>94</v>
      </c>
      <c r="C18" s="1" t="s">
        <v>39</v>
      </c>
      <c r="D18" s="16" t="s">
        <v>95</v>
      </c>
      <c r="E18" s="134"/>
      <c r="F18" s="135"/>
      <c r="G18" s="136"/>
      <c r="H18" s="137"/>
      <c r="I18" s="135"/>
      <c r="J18" s="135"/>
      <c r="K18" s="137"/>
      <c r="L18" s="135"/>
      <c r="M18" s="135"/>
      <c r="N18" s="137"/>
      <c r="O18" s="138"/>
      <c r="P18" s="138"/>
      <c r="Q18" s="139"/>
      <c r="R18" s="139"/>
      <c r="S18" s="134"/>
      <c r="T18" s="135"/>
      <c r="U18" s="135"/>
      <c r="V18" s="138"/>
      <c r="W18" s="139"/>
      <c r="X18" s="139"/>
      <c r="Y18" s="139"/>
      <c r="AD18" s="139"/>
    </row>
    <row r="19" spans="1:30" s="149" customFormat="1" ht="18" x14ac:dyDescent="0.35">
      <c r="A19" s="2">
        <v>18</v>
      </c>
      <c r="B19" s="140" t="s">
        <v>96</v>
      </c>
      <c r="C19" s="141" t="s">
        <v>97</v>
      </c>
      <c r="D19" s="142" t="s">
        <v>98</v>
      </c>
      <c r="E19" s="143">
        <f>(E10*E11)/(E8*E9)/1000000000</f>
        <v>26214.400000000001</v>
      </c>
      <c r="F19" s="144">
        <f t="shared" ref="F19:O19" si="8">(F10*F11)/(F8*F9)/1000000000</f>
        <v>5825.4222222222224</v>
      </c>
      <c r="G19" s="145">
        <f t="shared" si="8"/>
        <v>131.072</v>
      </c>
      <c r="H19" s="146">
        <f t="shared" si="8"/>
        <v>52428.800000000003</v>
      </c>
      <c r="I19" s="144">
        <f t="shared" si="8"/>
        <v>11650.844444444445</v>
      </c>
      <c r="J19" s="144">
        <f t="shared" si="8"/>
        <v>11650.844444444445</v>
      </c>
      <c r="K19" s="146">
        <f t="shared" si="8"/>
        <v>728.17777777777781</v>
      </c>
      <c r="L19" s="144">
        <f t="shared" si="8"/>
        <v>728.17777777777781</v>
      </c>
      <c r="M19" s="144">
        <f t="shared" si="8"/>
        <v>728.17777777777781</v>
      </c>
      <c r="N19" s="146">
        <f t="shared" si="8"/>
        <v>11650.844444444445</v>
      </c>
      <c r="O19" s="147">
        <f t="shared" si="8"/>
        <v>11650.844444444445</v>
      </c>
      <c r="P19" s="147">
        <f t="shared" ref="P19" si="9">(P10*P11)/(P8*P9)</f>
        <v>1048.576</v>
      </c>
      <c r="Q19" s="148"/>
      <c r="R19" s="148">
        <f t="shared" ref="R19:Y19" si="10">(R10*R11)/(R8*R9)/1000000000</f>
        <v>159.84390243902439</v>
      </c>
      <c r="S19" s="143">
        <f t="shared" si="10"/>
        <v>327.68</v>
      </c>
      <c r="T19" s="144">
        <f t="shared" si="10"/>
        <v>5242.88</v>
      </c>
      <c r="U19" s="144">
        <f t="shared" si="10"/>
        <v>327.68</v>
      </c>
      <c r="V19" s="147">
        <f t="shared" si="10"/>
        <v>5242.88</v>
      </c>
      <c r="W19" s="148">
        <f t="shared" si="10"/>
        <v>639.61936713686623</v>
      </c>
      <c r="X19" s="148"/>
      <c r="Y19" s="148">
        <f t="shared" si="10"/>
        <v>99.864380952380955</v>
      </c>
      <c r="AD19" s="148">
        <f t="shared" ref="AD19" si="11">(AD10*AD11)/(AD8*AD9)/1000000000</f>
        <v>32.736031219512192</v>
      </c>
    </row>
    <row r="20" spans="1:30" s="151" customFormat="1" ht="18" x14ac:dyDescent="0.35">
      <c r="A20" s="2">
        <v>19</v>
      </c>
      <c r="B20" s="150" t="s">
        <v>99</v>
      </c>
      <c r="C20" s="151" t="s">
        <v>100</v>
      </c>
      <c r="D20" s="152" t="s">
        <v>98</v>
      </c>
      <c r="E20" s="153">
        <f>E13/E14/1000000000</f>
        <v>125</v>
      </c>
      <c r="F20" s="154">
        <f t="shared" ref="F20:O20" si="12">F13/F14/1000000000</f>
        <v>125</v>
      </c>
      <c r="G20" s="155">
        <f t="shared" si="12"/>
        <v>62.5</v>
      </c>
      <c r="H20" s="156">
        <f t="shared" si="12"/>
        <v>20.833333333333332</v>
      </c>
      <c r="I20" s="154">
        <f t="shared" si="12"/>
        <v>20.833333333333332</v>
      </c>
      <c r="J20" s="154">
        <f t="shared" si="12"/>
        <v>20.833333333333332</v>
      </c>
      <c r="K20" s="156">
        <f t="shared" si="12"/>
        <v>20.833333333333332</v>
      </c>
      <c r="L20" s="154">
        <f t="shared" si="12"/>
        <v>333.33333333333331</v>
      </c>
      <c r="M20" s="154">
        <f t="shared" si="12"/>
        <v>20.833333333333332</v>
      </c>
      <c r="N20" s="156">
        <f t="shared" si="12"/>
        <v>20.833333333333332</v>
      </c>
      <c r="O20" s="157">
        <f t="shared" si="12"/>
        <v>333.33333333333331</v>
      </c>
      <c r="P20" s="157">
        <f t="shared" ref="P20" si="13">P13/P14</f>
        <v>333.33333333333331</v>
      </c>
      <c r="Q20" s="158"/>
      <c r="R20" s="158">
        <f t="shared" ref="R20:Y20" si="14">R13/R14/1000000000</f>
        <v>20.833333333333332</v>
      </c>
      <c r="S20" s="153">
        <f t="shared" si="14"/>
        <v>5</v>
      </c>
      <c r="T20" s="154">
        <f t="shared" si="14"/>
        <v>5</v>
      </c>
      <c r="U20" s="154">
        <f t="shared" si="14"/>
        <v>80</v>
      </c>
      <c r="V20" s="157">
        <f t="shared" si="14"/>
        <v>80</v>
      </c>
      <c r="W20" s="158">
        <f t="shared" si="14"/>
        <v>62.5</v>
      </c>
      <c r="X20" s="158"/>
      <c r="Y20" s="159">
        <f t="shared" si="14"/>
        <v>31.25</v>
      </c>
      <c r="AD20" s="159">
        <f t="shared" ref="AD20" si="15">AD13/AD14/1000000000</f>
        <v>31.25</v>
      </c>
    </row>
    <row r="21" spans="1:30" ht="18" x14ac:dyDescent="0.35">
      <c r="A21" s="2">
        <v>20</v>
      </c>
      <c r="B21" s="160" t="s">
        <v>101</v>
      </c>
      <c r="C21" s="161" t="s">
        <v>102</v>
      </c>
      <c r="D21" s="162" t="s">
        <v>98</v>
      </c>
      <c r="E21" s="163">
        <f>E13/E15/1000000000</f>
        <v>375</v>
      </c>
      <c r="F21" s="164">
        <f t="shared" ref="F21:O21" si="16">F13/F15/1000000000</f>
        <v>375</v>
      </c>
      <c r="G21" s="165">
        <f t="shared" si="16"/>
        <v>187.5</v>
      </c>
      <c r="H21" s="166">
        <f t="shared" si="16"/>
        <v>62.5</v>
      </c>
      <c r="I21" s="164">
        <f t="shared" si="16"/>
        <v>62.5</v>
      </c>
      <c r="J21" s="164">
        <f t="shared" si="16"/>
        <v>62.5</v>
      </c>
      <c r="K21" s="166">
        <f t="shared" si="16"/>
        <v>62.5</v>
      </c>
      <c r="L21" s="164">
        <f t="shared" si="16"/>
        <v>1000</v>
      </c>
      <c r="M21" s="164">
        <f t="shared" si="16"/>
        <v>62.5</v>
      </c>
      <c r="N21" s="166">
        <f t="shared" si="16"/>
        <v>62.5</v>
      </c>
      <c r="O21" s="167">
        <f t="shared" si="16"/>
        <v>1000</v>
      </c>
      <c r="P21" s="167">
        <f t="shared" ref="P21" si="17">P13/P15</f>
        <v>1000</v>
      </c>
      <c r="Q21" s="168"/>
      <c r="R21" s="168">
        <f t="shared" ref="R21:Y21" si="18">R13/R15/1000000000</f>
        <v>62.5</v>
      </c>
      <c r="S21" s="163">
        <f t="shared" si="18"/>
        <v>333.33333333333331</v>
      </c>
      <c r="T21" s="164">
        <f t="shared" si="18"/>
        <v>333.33333333333331</v>
      </c>
      <c r="U21" s="164">
        <f t="shared" si="18"/>
        <v>5333.333333333333</v>
      </c>
      <c r="V21" s="167">
        <f t="shared" si="18"/>
        <v>5333.333333333333</v>
      </c>
      <c r="W21" s="169">
        <f t="shared" si="18"/>
        <v>64000</v>
      </c>
      <c r="X21" s="169"/>
      <c r="Y21" s="169">
        <f t="shared" si="18"/>
        <v>256000</v>
      </c>
      <c r="AD21" s="169">
        <f t="shared" ref="AD21" si="19">AD13/AD15/1000000000</f>
        <v>62.5</v>
      </c>
    </row>
    <row r="22" spans="1:30" s="180" customFormat="1" ht="18" x14ac:dyDescent="0.35">
      <c r="A22" s="2">
        <v>21</v>
      </c>
      <c r="B22" s="170" t="s">
        <v>103</v>
      </c>
      <c r="C22" s="171" t="s">
        <v>104</v>
      </c>
      <c r="D22" s="172" t="s">
        <v>105</v>
      </c>
      <c r="E22" s="173">
        <f t="shared" ref="E22:P22" si="20">1/(1/E19+1/E21)</f>
        <v>369.71123831301196</v>
      </c>
      <c r="F22" s="174">
        <f t="shared" si="20"/>
        <v>352.3200928968995</v>
      </c>
      <c r="G22" s="175">
        <f t="shared" si="20"/>
        <v>77.144256243486566</v>
      </c>
      <c r="H22" s="176">
        <f t="shared" si="20"/>
        <v>62.425582906119679</v>
      </c>
      <c r="I22" s="174">
        <f t="shared" si="20"/>
        <v>62.16651283768465</v>
      </c>
      <c r="J22" s="174">
        <f t="shared" si="20"/>
        <v>62.16651283768465</v>
      </c>
      <c r="K22" s="176">
        <f t="shared" si="20"/>
        <v>57.559618330265174</v>
      </c>
      <c r="L22" s="174">
        <f t="shared" si="20"/>
        <v>421.35582758975414</v>
      </c>
      <c r="M22" s="174">
        <f t="shared" si="20"/>
        <v>57.559618330265174</v>
      </c>
      <c r="N22" s="176">
        <f t="shared" si="20"/>
        <v>62.16651283768465</v>
      </c>
      <c r="O22" s="177">
        <f t="shared" si="20"/>
        <v>920.95389328424278</v>
      </c>
      <c r="P22" s="177">
        <f t="shared" si="20"/>
        <v>511.85604048861256</v>
      </c>
      <c r="Q22" s="178"/>
      <c r="R22" s="178">
        <f t="shared" ref="R22:Y22" si="21">1/(1/R19+1/R21)</f>
        <v>44.931494827832076</v>
      </c>
      <c r="S22" s="173">
        <f t="shared" si="21"/>
        <v>165.24124576407939</v>
      </c>
      <c r="T22" s="174">
        <f t="shared" si="21"/>
        <v>313.40742582780189</v>
      </c>
      <c r="U22" s="174">
        <f t="shared" si="21"/>
        <v>308.71269219173951</v>
      </c>
      <c r="V22" s="177">
        <f t="shared" si="21"/>
        <v>2643.8599322252703</v>
      </c>
      <c r="W22" s="178">
        <f t="shared" si="21"/>
        <v>633.29023124742196</v>
      </c>
      <c r="X22" s="178"/>
      <c r="Y22" s="179">
        <f t="shared" si="21"/>
        <v>99.825439523781966</v>
      </c>
      <c r="AD22" s="179">
        <f t="shared" ref="AD22" si="22">1/(1/AD19+1/AD21)</f>
        <v>21.483486082107149</v>
      </c>
    </row>
    <row r="23" spans="1:30" s="149" customFormat="1" ht="18" x14ac:dyDescent="0.35">
      <c r="A23" s="2">
        <v>22</v>
      </c>
      <c r="B23" s="181" t="s">
        <v>106</v>
      </c>
      <c r="C23" s="182" t="s">
        <v>107</v>
      </c>
      <c r="D23" s="183" t="s">
        <v>108</v>
      </c>
      <c r="E23" s="184">
        <f>E12*E10*E11/E9</f>
        <v>83.886080000000007</v>
      </c>
      <c r="F23" s="185">
        <f t="shared" ref="F23:O23" si="23">F12*F10*F11/F9</f>
        <v>83.886080000000007</v>
      </c>
      <c r="G23" s="186">
        <f t="shared" si="23"/>
        <v>83.886080000000007</v>
      </c>
      <c r="H23" s="187">
        <f t="shared" si="23"/>
        <v>167.77216000000001</v>
      </c>
      <c r="I23" s="185">
        <f t="shared" si="23"/>
        <v>167.77216000000001</v>
      </c>
      <c r="J23" s="185">
        <f t="shared" si="23"/>
        <v>167.77216000000001</v>
      </c>
      <c r="K23" s="187">
        <f t="shared" si="23"/>
        <v>10.485760000000001</v>
      </c>
      <c r="L23" s="185">
        <f t="shared" si="23"/>
        <v>10.485760000000001</v>
      </c>
      <c r="M23" s="185">
        <f t="shared" si="23"/>
        <v>10.485760000000001</v>
      </c>
      <c r="N23" s="187">
        <f t="shared" si="23"/>
        <v>167.77216000000001</v>
      </c>
      <c r="O23" s="188">
        <f t="shared" si="23"/>
        <v>167.77216000000001</v>
      </c>
      <c r="P23" s="188">
        <f t="shared" ref="P23" si="24">P12*P10*P11/P9/1000</f>
        <v>167.77216000000001</v>
      </c>
      <c r="Q23" s="189"/>
      <c r="R23" s="189">
        <f t="shared" ref="R23:Y23" si="25">R12*R10*R11/R9</f>
        <v>10.485760000000001</v>
      </c>
      <c r="S23" s="184">
        <f t="shared" si="25"/>
        <v>10.485760000000001</v>
      </c>
      <c r="T23" s="185">
        <f t="shared" si="25"/>
        <v>167.77216000000001</v>
      </c>
      <c r="U23" s="185">
        <f t="shared" si="25"/>
        <v>10.485760000000001</v>
      </c>
      <c r="V23" s="188">
        <f t="shared" si="25"/>
        <v>167.77216000000001</v>
      </c>
      <c r="W23" s="189">
        <f t="shared" si="25"/>
        <v>167.77216000000001</v>
      </c>
      <c r="X23" s="189"/>
      <c r="Y23" s="189">
        <f t="shared" si="25"/>
        <v>41.943040000000003</v>
      </c>
      <c r="AD23" s="189">
        <f t="shared" ref="AD23" si="26">AD12*AD10*AD11/AD9</f>
        <v>671.08864000000005</v>
      </c>
    </row>
    <row r="24" spans="1:30" s="151" customFormat="1" ht="18" x14ac:dyDescent="0.35">
      <c r="A24" s="2">
        <v>23</v>
      </c>
      <c r="B24" s="150" t="s">
        <v>109</v>
      </c>
      <c r="C24" s="151" t="s">
        <v>110</v>
      </c>
      <c r="D24" s="152" t="s">
        <v>108</v>
      </c>
      <c r="E24" s="153">
        <f>E13*E16</f>
        <v>90</v>
      </c>
      <c r="F24" s="154">
        <f t="shared" ref="F24:O24" si="27">F13*F16</f>
        <v>90</v>
      </c>
      <c r="G24" s="155">
        <f t="shared" si="27"/>
        <v>90</v>
      </c>
      <c r="H24" s="156">
        <f t="shared" si="27"/>
        <v>15</v>
      </c>
      <c r="I24" s="154">
        <f t="shared" si="27"/>
        <v>15</v>
      </c>
      <c r="J24" s="154">
        <f t="shared" si="27"/>
        <v>15</v>
      </c>
      <c r="K24" s="156">
        <f t="shared" si="27"/>
        <v>15</v>
      </c>
      <c r="L24" s="154">
        <f t="shared" si="27"/>
        <v>240</v>
      </c>
      <c r="M24" s="154">
        <f t="shared" si="27"/>
        <v>15</v>
      </c>
      <c r="N24" s="156">
        <f t="shared" si="27"/>
        <v>15</v>
      </c>
      <c r="O24" s="157">
        <f t="shared" si="27"/>
        <v>240</v>
      </c>
      <c r="P24" s="157">
        <f t="shared" ref="P24" si="28">P13*P16/1000</f>
        <v>240</v>
      </c>
      <c r="Q24" s="158"/>
      <c r="R24" s="158">
        <f t="shared" ref="R24:Y24" si="29">R13*R16</f>
        <v>15</v>
      </c>
      <c r="S24" s="153">
        <f t="shared" si="29"/>
        <v>15</v>
      </c>
      <c r="T24" s="154">
        <f t="shared" si="29"/>
        <v>15</v>
      </c>
      <c r="U24" s="154">
        <f t="shared" si="29"/>
        <v>240</v>
      </c>
      <c r="V24" s="157">
        <f t="shared" si="29"/>
        <v>240</v>
      </c>
      <c r="W24" s="158">
        <f t="shared" si="29"/>
        <v>15</v>
      </c>
      <c r="X24" s="158"/>
      <c r="Y24" s="158">
        <f t="shared" si="29"/>
        <v>15</v>
      </c>
      <c r="AD24" s="158">
        <f t="shared" ref="AD24" si="30">AD13*AD16</f>
        <v>15</v>
      </c>
    </row>
    <row r="25" spans="1:30" s="180" customFormat="1" ht="18" x14ac:dyDescent="0.35">
      <c r="A25" s="2">
        <v>24</v>
      </c>
      <c r="B25" s="170" t="s">
        <v>111</v>
      </c>
      <c r="C25" s="171" t="s">
        <v>112</v>
      </c>
      <c r="D25" s="172" t="s">
        <v>113</v>
      </c>
      <c r="E25" s="173">
        <f>(E23/E19+E24/E21)*E22</f>
        <v>89.913773157724506</v>
      </c>
      <c r="F25" s="174">
        <f t="shared" ref="F25:P25" si="31">(F23/F19+F24/F21)*F22</f>
        <v>89.630231632971231</v>
      </c>
      <c r="G25" s="175">
        <f t="shared" si="31"/>
        <v>86.401566992704957</v>
      </c>
      <c r="H25" s="174">
        <f t="shared" si="31"/>
        <v>15.181901762768305</v>
      </c>
      <c r="I25" s="174">
        <f t="shared" si="31"/>
        <v>15.815160865906975</v>
      </c>
      <c r="J25" s="174">
        <f t="shared" si="31"/>
        <v>15.815160865906975</v>
      </c>
      <c r="K25" s="176">
        <f t="shared" si="31"/>
        <v>14.643166903219461</v>
      </c>
      <c r="L25" s="174">
        <f t="shared" si="31"/>
        <v>107.19292253883346</v>
      </c>
      <c r="M25" s="174">
        <f t="shared" si="31"/>
        <v>14.643166903219461</v>
      </c>
      <c r="N25" s="176">
        <f t="shared" si="31"/>
        <v>15.815160865906975</v>
      </c>
      <c r="O25" s="177">
        <f t="shared" si="31"/>
        <v>234.29067045151137</v>
      </c>
      <c r="P25" s="177">
        <f t="shared" si="31"/>
        <v>204.74241619544503</v>
      </c>
      <c r="Q25" s="178"/>
      <c r="R25" s="178">
        <f t="shared" ref="R25:Y25" si="32">(R23/R19+R24/R21)*R22</f>
        <v>13.731064819385482</v>
      </c>
      <c r="S25" s="173">
        <f t="shared" si="32"/>
        <v>12.723575923834115</v>
      </c>
      <c r="T25" s="174">
        <f t="shared" si="32"/>
        <v>24.132371788740748</v>
      </c>
      <c r="U25" s="174">
        <f t="shared" si="32"/>
        <v>23.770877298763946</v>
      </c>
      <c r="V25" s="177">
        <f t="shared" si="32"/>
        <v>203.57721478134584</v>
      </c>
      <c r="W25" s="178">
        <f t="shared" si="32"/>
        <v>166.26045505414737</v>
      </c>
      <c r="X25" s="178"/>
      <c r="Y25" s="178">
        <f t="shared" si="32"/>
        <v>41.932533746835524</v>
      </c>
      <c r="AD25" s="178">
        <f t="shared" ref="AD25" si="33">(AD23/AD19+AD24/AD21)*AD22</f>
        <v>445.56750134290229</v>
      </c>
    </row>
    <row r="26" spans="1:30" s="180" customFormat="1" ht="18" hidden="1" x14ac:dyDescent="0.35">
      <c r="A26" s="2">
        <v>25</v>
      </c>
      <c r="B26" s="190" t="s">
        <v>114</v>
      </c>
      <c r="C26" s="180" t="s">
        <v>115</v>
      </c>
      <c r="D26" s="191" t="s">
        <v>116</v>
      </c>
      <c r="E26" s="192">
        <f>E23/E19</f>
        <v>3.2000000000000002E-3</v>
      </c>
      <c r="F26" s="193">
        <f t="shared" ref="F26:P27" si="34">F23/F19</f>
        <v>1.4400000000000001E-2</v>
      </c>
      <c r="G26" s="194">
        <f t="shared" si="34"/>
        <v>0.64</v>
      </c>
      <c r="H26" s="193">
        <f t="shared" si="34"/>
        <v>3.2000000000000002E-3</v>
      </c>
      <c r="I26" s="193">
        <f t="shared" si="34"/>
        <v>1.4400000000000001E-2</v>
      </c>
      <c r="J26" s="193">
        <f t="shared" si="34"/>
        <v>1.4400000000000001E-2</v>
      </c>
      <c r="K26" s="195">
        <f t="shared" si="34"/>
        <v>1.4400000000000001E-2</v>
      </c>
      <c r="L26" s="193">
        <f t="shared" si="34"/>
        <v>1.4400000000000001E-2</v>
      </c>
      <c r="M26" s="193">
        <f t="shared" si="34"/>
        <v>1.4400000000000001E-2</v>
      </c>
      <c r="N26" s="195">
        <f t="shared" si="34"/>
        <v>1.4400000000000001E-2</v>
      </c>
      <c r="O26" s="196">
        <f t="shared" si="34"/>
        <v>1.4400000000000001E-2</v>
      </c>
      <c r="P26" s="196">
        <f t="shared" si="34"/>
        <v>0.16</v>
      </c>
      <c r="Q26" s="197"/>
      <c r="R26" s="197">
        <f>R23/R19</f>
        <v>6.5600000000000006E-2</v>
      </c>
      <c r="S26" s="192">
        <f t="shared" ref="S26:Y27" si="35">S23/S19</f>
        <v>3.2000000000000001E-2</v>
      </c>
      <c r="T26" s="193">
        <f t="shared" si="35"/>
        <v>3.2000000000000001E-2</v>
      </c>
      <c r="U26" s="193">
        <f t="shared" si="35"/>
        <v>3.2000000000000001E-2</v>
      </c>
      <c r="V26" s="196">
        <f t="shared" si="35"/>
        <v>3.2000000000000001E-2</v>
      </c>
      <c r="W26" s="197">
        <f t="shared" si="35"/>
        <v>0.26229999999999998</v>
      </c>
      <c r="X26" s="197"/>
      <c r="Y26" s="197">
        <f t="shared" si="35"/>
        <v>0.42000000000000004</v>
      </c>
      <c r="AD26" s="197">
        <f t="shared" ref="AD26:AD27" si="36">AD23/AD19</f>
        <v>20.500000000000004</v>
      </c>
    </row>
    <row r="27" spans="1:30" s="151" customFormat="1" ht="18" x14ac:dyDescent="0.35">
      <c r="A27" s="2">
        <v>26</v>
      </c>
      <c r="B27" s="150" t="s">
        <v>117</v>
      </c>
      <c r="C27" s="151" t="s">
        <v>118</v>
      </c>
      <c r="D27" s="152" t="s">
        <v>116</v>
      </c>
      <c r="E27" s="198">
        <f>E24/E20</f>
        <v>0.72</v>
      </c>
      <c r="F27" s="199">
        <f t="shared" si="34"/>
        <v>0.72</v>
      </c>
      <c r="G27" s="200">
        <f t="shared" si="34"/>
        <v>1.44</v>
      </c>
      <c r="H27" s="201">
        <f t="shared" si="34"/>
        <v>0.72000000000000008</v>
      </c>
      <c r="I27" s="199">
        <f t="shared" si="34"/>
        <v>0.72000000000000008</v>
      </c>
      <c r="J27" s="199">
        <f t="shared" si="34"/>
        <v>0.72000000000000008</v>
      </c>
      <c r="K27" s="201">
        <f t="shared" si="34"/>
        <v>0.72000000000000008</v>
      </c>
      <c r="L27" s="199">
        <f t="shared" si="34"/>
        <v>0.72000000000000008</v>
      </c>
      <c r="M27" s="199">
        <f t="shared" si="34"/>
        <v>0.72000000000000008</v>
      </c>
      <c r="N27" s="201">
        <f t="shared" si="34"/>
        <v>0.72000000000000008</v>
      </c>
      <c r="O27" s="202">
        <f t="shared" si="34"/>
        <v>0.72000000000000008</v>
      </c>
      <c r="P27" s="202">
        <f t="shared" si="34"/>
        <v>0.72000000000000008</v>
      </c>
      <c r="Q27" s="203"/>
      <c r="R27" s="203">
        <f>R24/R20</f>
        <v>0.72000000000000008</v>
      </c>
      <c r="S27" s="198">
        <f t="shared" si="35"/>
        <v>3</v>
      </c>
      <c r="T27" s="199">
        <f t="shared" si="35"/>
        <v>3</v>
      </c>
      <c r="U27" s="199">
        <f t="shared" si="35"/>
        <v>3</v>
      </c>
      <c r="V27" s="202">
        <f t="shared" si="35"/>
        <v>3</v>
      </c>
      <c r="W27" s="203">
        <f t="shared" si="35"/>
        <v>0.24</v>
      </c>
      <c r="X27" s="203"/>
      <c r="Y27" s="203">
        <f t="shared" si="35"/>
        <v>0.48</v>
      </c>
      <c r="AD27" s="203">
        <f t="shared" si="36"/>
        <v>0.48</v>
      </c>
    </row>
    <row r="28" spans="1:30" s="180" customFormat="1" ht="18.75" thickBot="1" x14ac:dyDescent="0.4">
      <c r="A28" s="2">
        <v>27</v>
      </c>
      <c r="B28" s="204" t="s">
        <v>119</v>
      </c>
      <c r="C28" s="205" t="s">
        <v>120</v>
      </c>
      <c r="D28" s="206" t="s">
        <v>116</v>
      </c>
      <c r="E28" s="207">
        <f>E25/E22</f>
        <v>0.2432</v>
      </c>
      <c r="F28" s="208">
        <f t="shared" ref="F28:P28" si="37">F25/F22</f>
        <v>0.25440000000000002</v>
      </c>
      <c r="G28" s="209">
        <f t="shared" si="37"/>
        <v>1.1200000000000001</v>
      </c>
      <c r="H28" s="210">
        <f t="shared" si="37"/>
        <v>0.2432</v>
      </c>
      <c r="I28" s="208">
        <f t="shared" si="37"/>
        <v>0.25440000000000002</v>
      </c>
      <c r="J28" s="208">
        <f t="shared" si="37"/>
        <v>0.25440000000000002</v>
      </c>
      <c r="K28" s="210">
        <f t="shared" si="37"/>
        <v>0.25440000000000002</v>
      </c>
      <c r="L28" s="208">
        <f t="shared" si="37"/>
        <v>0.25440000000000002</v>
      </c>
      <c r="M28" s="208">
        <f t="shared" si="37"/>
        <v>0.25440000000000002</v>
      </c>
      <c r="N28" s="210">
        <f t="shared" si="37"/>
        <v>0.25440000000000002</v>
      </c>
      <c r="O28" s="211">
        <f t="shared" si="37"/>
        <v>0.25440000000000002</v>
      </c>
      <c r="P28" s="211">
        <f t="shared" si="37"/>
        <v>0.4</v>
      </c>
      <c r="Q28" s="212"/>
      <c r="R28" s="212">
        <f>R25/R22</f>
        <v>0.30559999999999998</v>
      </c>
      <c r="S28" s="207">
        <f t="shared" ref="S28:Y28" si="38">S25/S22</f>
        <v>7.7000000000000013E-2</v>
      </c>
      <c r="T28" s="208">
        <f t="shared" si="38"/>
        <v>7.7000000000000013E-2</v>
      </c>
      <c r="U28" s="208">
        <f t="shared" si="38"/>
        <v>7.7000000000000013E-2</v>
      </c>
      <c r="V28" s="211">
        <f t="shared" si="38"/>
        <v>7.7000000000000013E-2</v>
      </c>
      <c r="W28" s="212">
        <f t="shared" si="38"/>
        <v>0.26253437499999999</v>
      </c>
      <c r="X28" s="212"/>
      <c r="Y28" s="212">
        <f t="shared" si="38"/>
        <v>0.42005859375000004</v>
      </c>
      <c r="AD28" s="212">
        <f t="shared" ref="AD28" si="39">AD25/AD22</f>
        <v>20.740000000000002</v>
      </c>
    </row>
    <row r="29" spans="1:30" x14ac:dyDescent="0.25">
      <c r="A29" s="2">
        <v>28</v>
      </c>
    </row>
    <row r="30" spans="1:30" ht="15.75" thickBot="1" x14ac:dyDescent="0.3"/>
    <row r="31" spans="1:30" s="1" customFormat="1" x14ac:dyDescent="0.25">
      <c r="A31" s="2"/>
      <c r="B31" s="5"/>
      <c r="C31" s="6"/>
      <c r="D31" s="7"/>
      <c r="E31" s="5"/>
      <c r="F31" s="215" t="s">
        <v>121</v>
      </c>
      <c r="G31" s="215"/>
      <c r="H31" s="216"/>
      <c r="I31" s="215" t="s">
        <v>121</v>
      </c>
      <c r="J31" s="215"/>
      <c r="K31" s="216"/>
      <c r="L31" s="215" t="s">
        <v>121</v>
      </c>
      <c r="M31" s="215"/>
      <c r="N31" s="216"/>
      <c r="O31" s="215" t="s">
        <v>121</v>
      </c>
      <c r="P31" s="217"/>
      <c r="Q31" s="215"/>
      <c r="R31" s="215"/>
      <c r="S31" s="14" t="s">
        <v>31</v>
      </c>
      <c r="T31" s="9" t="s">
        <v>31</v>
      </c>
      <c r="U31" s="9" t="s">
        <v>31</v>
      </c>
      <c r="V31" s="12" t="s">
        <v>31</v>
      </c>
      <c r="W31" s="4"/>
      <c r="X31" s="4"/>
      <c r="Y31" s="4"/>
      <c r="AD3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Bitlet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Ronny</dc:creator>
  <cp:lastModifiedBy>Ronny</cp:lastModifiedBy>
  <dcterms:created xsi:type="dcterms:W3CDTF">2020-11-23T12:29:52Z</dcterms:created>
  <dcterms:modified xsi:type="dcterms:W3CDTF">2020-11-23T12:31:29Z</dcterms:modified>
</cp:coreProperties>
</file>