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4.xml" ContentType="application/vnd.openxmlformats-officedocument.drawing+xml"/>
  <Override PartName="/xl/tables/table15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cuments\(TFG)\"/>
    </mc:Choice>
  </mc:AlternateContent>
  <xr:revisionPtr revIDLastSave="0" documentId="8_{9093BB8B-EE69-48EE-8CEF-445D4D027D7A}" xr6:coauthVersionLast="47" xr6:coauthVersionMax="47" xr10:uidLastSave="{00000000-0000-0000-0000-000000000000}"/>
  <bookViews>
    <workbookView xWindow="-108" yWindow="-108" windowWidth="23256" windowHeight="12456" firstSheet="11" activeTab="12" xr2:uid="{10C03F0C-DA61-4910-B8B1-6A85E4885861}"/>
    <workbookView xWindow="-108" yWindow="-108" windowWidth="23256" windowHeight="12456" xr2:uid="{BDDF6865-237F-4160-8AB5-1BDD42D7EEC8}"/>
  </bookViews>
  <sheets>
    <sheet name="Interfaz" sheetId="18" r:id="rId1"/>
    <sheet name="Leyenda" sheetId="1" r:id="rId2"/>
    <sheet name="TTHH" sheetId="3" r:id="rId3"/>
    <sheet name="Navegación" sheetId="4" r:id="rId4"/>
    <sheet name="D Actual" sheetId="8" r:id="rId5"/>
    <sheet name="Consumos" sheetId="16" r:id="rId6"/>
    <sheet name="D Máximos" sheetId="5" r:id="rId7"/>
    <sheet name="Condición Actual" sheetId="11" r:id="rId8"/>
    <sheet name="Calados Act Sal Lleg" sheetId="12" r:id="rId9"/>
    <sheet name="Carga y Reparto" sheetId="9" r:id="rId10"/>
    <sheet name="Condición Salida" sheetId="10" r:id="rId11"/>
    <sheet name="Condición Día D" sheetId="13" r:id="rId12"/>
    <sheet name="Condición Llegada" sheetId="14" r:id="rId13"/>
    <sheet name="Análisis Inundación" sheetId="15" r:id="rId14"/>
  </sheets>
  <definedNames>
    <definedName name="_xlcn.WorksheetConnection_DMáximosT31V331" hidden="1">'D Máximos'!$T$31:$V$33</definedName>
    <definedName name="_xlcn.WorksheetConnection_Hoja1C3G51" hidden="1">'Condición Actual'!$C$3:$G$5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Hoja1!$C$3:$G$5"/>
          <x15:modelTable id="Rango 1" name="Rango 1" connection="WorksheetConnection_D Máximos!$T$31:$V$3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" i="9" l="1"/>
  <c r="T21" i="9"/>
  <c r="X9" i="9" a="1"/>
  <c r="X9" i="9" s="1"/>
  <c r="W9" i="9" a="1"/>
  <c r="W9" i="9" s="1"/>
  <c r="V9" i="9" a="1"/>
  <c r="V9" i="9" s="1"/>
  <c r="D270" i="18"/>
  <c r="D271" i="18"/>
  <c r="D272" i="18"/>
  <c r="D273" i="18"/>
  <c r="D269" i="18"/>
  <c r="L288" i="18" a="1"/>
  <c r="L288" i="18" s="1"/>
  <c r="P267" i="18"/>
  <c r="P266" i="18"/>
  <c r="AA17" i="16" a="1"/>
  <c r="AA17" i="16" s="1"/>
  <c r="L267" i="18"/>
  <c r="L268" i="18"/>
  <c r="L269" i="18"/>
  <c r="L270" i="18"/>
  <c r="L266" i="18"/>
  <c r="AA9" i="16" a="1"/>
  <c r="AA9" i="16" s="1"/>
  <c r="H267" i="18"/>
  <c r="H268" i="18"/>
  <c r="H269" i="18"/>
  <c r="H270" i="18"/>
  <c r="H271" i="18"/>
  <c r="H272" i="18"/>
  <c r="H273" i="18"/>
  <c r="H274" i="18"/>
  <c r="H275" i="18"/>
  <c r="H266" i="18"/>
  <c r="P9" i="16" a="1"/>
  <c r="P9" i="16" s="1"/>
  <c r="P256" i="18"/>
  <c r="P257" i="18"/>
  <c r="P255" i="18"/>
  <c r="P22" i="16" a="1"/>
  <c r="P22" i="16" s="1"/>
  <c r="E21" i="16" a="1"/>
  <c r="E21" i="16" s="1"/>
  <c r="E9" i="16" a="1"/>
  <c r="E9" i="16" s="1"/>
  <c r="H256" i="18"/>
  <c r="H257" i="18"/>
  <c r="H258" i="18"/>
  <c r="H259" i="18"/>
  <c r="H260" i="18"/>
  <c r="H261" i="18"/>
  <c r="H262" i="18"/>
  <c r="H263" i="18"/>
  <c r="L256" i="18"/>
  <c r="L257" i="18"/>
  <c r="L258" i="18"/>
  <c r="L255" i="18"/>
  <c r="H255" i="18"/>
  <c r="N87" i="9" a="1"/>
  <c r="N87" i="9" s="1"/>
  <c r="M87" i="9" a="1"/>
  <c r="M87" i="9" s="1"/>
  <c r="L87" i="9" a="1"/>
  <c r="L87" i="9" s="1"/>
  <c r="K87" i="9" a="1"/>
  <c r="K87" i="9" s="1"/>
  <c r="J87" i="9" a="1"/>
  <c r="J87" i="9" s="1"/>
  <c r="H87" i="9" a="1"/>
  <c r="H87" i="9" s="1"/>
  <c r="N81" i="9" a="1"/>
  <c r="N81" i="9" s="1"/>
  <c r="M81" i="9" a="1"/>
  <c r="M81" i="9" s="1"/>
  <c r="L81" i="9" a="1"/>
  <c r="L81" i="9" s="1"/>
  <c r="K81" i="9" a="1"/>
  <c r="K81" i="9" s="1"/>
  <c r="J81" i="9" a="1"/>
  <c r="J81" i="9" s="1"/>
  <c r="H81" i="9" a="1"/>
  <c r="H81" i="9" s="1"/>
  <c r="N76" i="9" a="1"/>
  <c r="N76" i="9" s="1"/>
  <c r="M76" i="9" a="1"/>
  <c r="M76" i="9" s="1"/>
  <c r="L76" i="9" a="1"/>
  <c r="L76" i="9" s="1"/>
  <c r="K76" i="9" a="1"/>
  <c r="K76" i="9" s="1"/>
  <c r="J76" i="9" a="1"/>
  <c r="J76" i="9" s="1"/>
  <c r="H76" i="9" a="1"/>
  <c r="H76" i="9" s="1"/>
  <c r="P76" i="9" s="1"/>
  <c r="N63" i="9" a="1"/>
  <c r="N63" i="9" s="1"/>
  <c r="M63" i="9" a="1"/>
  <c r="M63" i="9" s="1"/>
  <c r="L63" i="9" a="1"/>
  <c r="L63" i="9" s="1"/>
  <c r="K63" i="9" a="1"/>
  <c r="K63" i="9" s="1"/>
  <c r="J63" i="9" a="1"/>
  <c r="J63" i="9" s="1"/>
  <c r="H63" i="9" a="1"/>
  <c r="H63" i="9" s="1"/>
  <c r="P63" i="9" s="1"/>
  <c r="AB58" i="10" s="1"/>
  <c r="N36" i="9" a="1"/>
  <c r="N36" i="9" s="1"/>
  <c r="M36" i="9" a="1"/>
  <c r="M36" i="9" s="1"/>
  <c r="L36" i="9" a="1"/>
  <c r="L36" i="9" s="1"/>
  <c r="K36" i="9" a="1"/>
  <c r="K36" i="9" s="1"/>
  <c r="Q36" i="9" s="1"/>
  <c r="J36" i="9" a="1"/>
  <c r="J36" i="9" s="1"/>
  <c r="H36" i="9" a="1"/>
  <c r="H36" i="9" s="1"/>
  <c r="N29" i="9" a="1"/>
  <c r="N29" i="9" s="1"/>
  <c r="M29" i="9" a="1"/>
  <c r="M29" i="9" s="1"/>
  <c r="L29" i="9" a="1"/>
  <c r="L29" i="9" s="1"/>
  <c r="K29" i="9" a="1"/>
  <c r="K29" i="9" s="1"/>
  <c r="J29" i="9" a="1"/>
  <c r="J29" i="9" s="1"/>
  <c r="H29" i="9" a="1"/>
  <c r="H29" i="9" s="1"/>
  <c r="P29" i="9" s="1"/>
  <c r="AB53" i="10" s="1"/>
  <c r="N17" i="9" a="1"/>
  <c r="N17" i="9" s="1"/>
  <c r="M17" i="9" a="1"/>
  <c r="M17" i="9" s="1"/>
  <c r="L17" i="9" a="1"/>
  <c r="L17" i="9" s="1"/>
  <c r="K17" i="9" a="1"/>
  <c r="K17" i="9" s="1"/>
  <c r="J17" i="9" a="1"/>
  <c r="J17" i="9" s="1"/>
  <c r="H17" i="9" a="1"/>
  <c r="H17" i="9" s="1"/>
  <c r="O9" i="9" a="1"/>
  <c r="O9" i="9" s="1"/>
  <c r="N9" i="9" a="1"/>
  <c r="N9" i="9" s="1"/>
  <c r="M9" i="9" a="1"/>
  <c r="M9" i="9" s="1"/>
  <c r="L9" i="9" a="1"/>
  <c r="L9" i="9" s="1"/>
  <c r="K9" i="9" a="1"/>
  <c r="K9" i="9" s="1"/>
  <c r="J9" i="9" a="1"/>
  <c r="J9" i="9" s="1"/>
  <c r="H9" i="9" a="1"/>
  <c r="H9" i="9" s="1"/>
  <c r="Q10" i="5" a="1"/>
  <c r="Q10" i="5" s="1"/>
  <c r="P12" i="5" s="1"/>
  <c r="R11" i="5" s="1"/>
  <c r="R10" i="5"/>
  <c r="R12" i="5" s="1"/>
  <c r="R9" i="5"/>
  <c r="Q9" i="5" s="1"/>
  <c r="M14" i="5"/>
  <c r="N10" i="5"/>
  <c r="L10" i="5" a="1"/>
  <c r="L10" i="5" s="1"/>
  <c r="I11" i="5"/>
  <c r="M12" i="12" s="1"/>
  <c r="L12" i="12" s="1"/>
  <c r="I10" i="5"/>
  <c r="H12" i="5" s="1"/>
  <c r="J11" i="5" s="1"/>
  <c r="J10" i="5"/>
  <c r="J9" i="5"/>
  <c r="I9" i="5" s="1"/>
  <c r="F157" i="18" s="1"/>
  <c r="M167" i="18"/>
  <c r="M164" i="18"/>
  <c r="E167" i="18"/>
  <c r="E164" i="18"/>
  <c r="F10" i="5"/>
  <c r="F12" i="12" s="1"/>
  <c r="E12" i="12" s="1"/>
  <c r="AB17" i="16"/>
  <c r="AB18" i="16" s="1"/>
  <c r="AB9" i="16"/>
  <c r="Q22" i="16"/>
  <c r="Q23" i="16" s="1"/>
  <c r="V23" i="16" s="1"/>
  <c r="Q9" i="16"/>
  <c r="Q17" i="16" s="1"/>
  <c r="F21" i="16"/>
  <c r="F24" i="16" s="1"/>
  <c r="F9" i="16"/>
  <c r="F10" i="16" s="1"/>
  <c r="F22" i="4"/>
  <c r="F17" i="4"/>
  <c r="N15" i="5" s="1"/>
  <c r="O13" i="4"/>
  <c r="O11" i="4"/>
  <c r="L13" i="4" a="1"/>
  <c r="L13" i="4" s="1"/>
  <c r="L11" i="4" a="1"/>
  <c r="L11" i="4" s="1"/>
  <c r="M8" i="4"/>
  <c r="L9" i="4" s="1"/>
  <c r="M9" i="4" s="1"/>
  <c r="H13" i="4"/>
  <c r="H11" i="4"/>
  <c r="E13" i="4" a="1"/>
  <c r="E13" i="4" s="1"/>
  <c r="E11" i="4" a="1"/>
  <c r="E11" i="4" s="1"/>
  <c r="F8" i="4"/>
  <c r="AS8" i="8" a="1"/>
  <c r="AS8" i="8" s="1"/>
  <c r="AQ8" i="8" a="1"/>
  <c r="AQ8" i="8" s="1"/>
  <c r="AO8" i="8" a="1"/>
  <c r="AO8" i="8" s="1"/>
  <c r="AN8" i="8" a="1"/>
  <c r="AN8" i="8" s="1"/>
  <c r="F110" i="18"/>
  <c r="L108" i="18"/>
  <c r="J108" i="18"/>
  <c r="H108" i="18"/>
  <c r="L107" i="18"/>
  <c r="J107" i="18"/>
  <c r="H107" i="18"/>
  <c r="L106" i="18"/>
  <c r="J106" i="18"/>
  <c r="H106" i="18"/>
  <c r="L105" i="18"/>
  <c r="J105" i="18"/>
  <c r="H105" i="18"/>
  <c r="L104" i="18"/>
  <c r="J104" i="18"/>
  <c r="H104" i="18"/>
  <c r="L103" i="18"/>
  <c r="J103" i="18"/>
  <c r="H103" i="18"/>
  <c r="L102" i="18"/>
  <c r="J102" i="18"/>
  <c r="H102" i="18"/>
  <c r="L101" i="18"/>
  <c r="J101" i="18"/>
  <c r="H101" i="18"/>
  <c r="L100" i="18"/>
  <c r="J100" i="18"/>
  <c r="H100" i="18"/>
  <c r="L99" i="18"/>
  <c r="J99" i="18"/>
  <c r="H99" i="18"/>
  <c r="AI29" i="8" a="1"/>
  <c r="AI29" i="8" s="1"/>
  <c r="AH29" i="8" a="1"/>
  <c r="AH29" i="8" s="1"/>
  <c r="AG29" i="8" a="1"/>
  <c r="AG29" i="8" s="1"/>
  <c r="AG28" i="8"/>
  <c r="L86" i="9" s="1"/>
  <c r="AF29" i="8" a="1"/>
  <c r="AF29" i="8" s="1"/>
  <c r="AE29" i="8" a="1"/>
  <c r="AE29" i="8" s="1"/>
  <c r="AC29" i="8" a="1"/>
  <c r="AC29" i="8" s="1"/>
  <c r="AI24" i="8" a="1"/>
  <c r="AI24" i="8" s="1"/>
  <c r="AH24" i="8" a="1"/>
  <c r="AH24" i="8" s="1"/>
  <c r="AG24" i="8" a="1"/>
  <c r="AG24" i="8" s="1"/>
  <c r="AG23" i="8"/>
  <c r="L80" i="9" s="1"/>
  <c r="Q83" i="9" s="1"/>
  <c r="AF24" i="8" a="1"/>
  <c r="AF24" i="8" s="1"/>
  <c r="AE24" i="8" a="1"/>
  <c r="AE24" i="8" s="1"/>
  <c r="AC24" i="8" a="1"/>
  <c r="AC24" i="8" s="1"/>
  <c r="AI20" i="8" a="1"/>
  <c r="AI20" i="8" s="1"/>
  <c r="AH20" i="8" a="1"/>
  <c r="AH20" i="8" s="1"/>
  <c r="AG20" i="8" a="1"/>
  <c r="AG20" i="8" s="1"/>
  <c r="AF20" i="8" a="1"/>
  <c r="AF20" i="8" s="1"/>
  <c r="AE20" i="8" a="1"/>
  <c r="AE20" i="8" s="1"/>
  <c r="AC20" i="8" a="1"/>
  <c r="AC20" i="8" s="1"/>
  <c r="AG19" i="8"/>
  <c r="L75" i="9" s="1"/>
  <c r="AI8" i="8" a="1"/>
  <c r="AI8" i="8" s="1"/>
  <c r="AH8" i="8" a="1"/>
  <c r="AH8" i="8" s="1"/>
  <c r="AG8" i="8" a="1"/>
  <c r="AG8" i="8" s="1"/>
  <c r="AF8" i="8" a="1"/>
  <c r="AF8" i="8" s="1"/>
  <c r="AE8" i="8" a="1"/>
  <c r="AE8" i="8" s="1"/>
  <c r="AC8" i="8" a="1"/>
  <c r="AC8" i="8" s="1"/>
  <c r="AG7" i="8"/>
  <c r="L62" i="9" s="1"/>
  <c r="X8" i="8" a="1"/>
  <c r="X8" i="8" s="1"/>
  <c r="W8" i="8" a="1"/>
  <c r="W8" i="8" s="1"/>
  <c r="V8" i="8" a="1"/>
  <c r="V8" i="8" s="1"/>
  <c r="U8" i="8" a="1"/>
  <c r="U8" i="8" s="1"/>
  <c r="T8" i="8" a="1"/>
  <c r="T8" i="8" s="1"/>
  <c r="R8" i="8" a="1"/>
  <c r="R8" i="8" s="1"/>
  <c r="V7" i="8"/>
  <c r="M28" i="8" a="1"/>
  <c r="M28" i="8" s="1"/>
  <c r="L28" i="8" a="1"/>
  <c r="L28" i="8" s="1"/>
  <c r="K28" i="8" a="1"/>
  <c r="K28" i="8" s="1"/>
  <c r="J28" i="8" a="1"/>
  <c r="J28" i="8" s="1"/>
  <c r="H28" i="8" a="1"/>
  <c r="H28" i="8" s="1"/>
  <c r="K27" i="8"/>
  <c r="F28" i="8" a="1"/>
  <c r="F28" i="8" s="1"/>
  <c r="M16" i="8" a="1"/>
  <c r="M16" i="8" s="1"/>
  <c r="L16" i="8" a="1"/>
  <c r="L16" i="8" s="1"/>
  <c r="K15" i="8"/>
  <c r="L16" i="9" s="1"/>
  <c r="K16" i="8" a="1"/>
  <c r="K16" i="8" s="1"/>
  <c r="J16" i="8" a="1"/>
  <c r="J16" i="8" s="1"/>
  <c r="H16" i="8" a="1"/>
  <c r="H16" i="8" s="1"/>
  <c r="F16" i="8" a="1"/>
  <c r="F16" i="8" s="1"/>
  <c r="M8" i="8" a="1"/>
  <c r="M8" i="8" s="1"/>
  <c r="L8" i="8" a="1"/>
  <c r="L8" i="8" s="1"/>
  <c r="K8" i="8" a="1"/>
  <c r="K8" i="8" s="1"/>
  <c r="J8" i="8" a="1"/>
  <c r="J8" i="8" s="1"/>
  <c r="E13" i="8" s="1"/>
  <c r="I8" i="8" a="1"/>
  <c r="I8" i="8" s="1"/>
  <c r="H8" i="8" a="1"/>
  <c r="H8" i="8" s="1"/>
  <c r="F8" i="8" a="1"/>
  <c r="F8" i="8" s="1"/>
  <c r="CU123" i="15"/>
  <c r="CS123" i="15"/>
  <c r="CQ123" i="15"/>
  <c r="CR117" i="15"/>
  <c r="CS117" i="15" s="1"/>
  <c r="CQ117" i="15"/>
  <c r="CU125" i="15" s="1"/>
  <c r="AV115" i="15"/>
  <c r="AT115" i="15"/>
  <c r="AR115" i="15"/>
  <c r="AC115" i="15"/>
  <c r="AA115" i="15"/>
  <c r="Y115" i="15"/>
  <c r="J115" i="15"/>
  <c r="H115" i="15"/>
  <c r="F115" i="15"/>
  <c r="AS109" i="15"/>
  <c r="AT109" i="15" s="1"/>
  <c r="AR109" i="15"/>
  <c r="AV117" i="15" s="1"/>
  <c r="Z109" i="15"/>
  <c r="AA109" i="15" s="1"/>
  <c r="Y109" i="15"/>
  <c r="AA117" i="15" s="1"/>
  <c r="G109" i="15"/>
  <c r="H109" i="15" s="1"/>
  <c r="F109" i="15"/>
  <c r="J117" i="15" s="1"/>
  <c r="R103" i="15" a="1"/>
  <c r="R103" i="15" s="1"/>
  <c r="P103" i="15" a="1"/>
  <c r="P103" i="15" s="1"/>
  <c r="N103" i="15" a="1"/>
  <c r="N103" i="15" s="1"/>
  <c r="P99" i="15" a="1"/>
  <c r="P99" i="15" s="1"/>
  <c r="N99" i="15" a="1"/>
  <c r="N99" i="15" s="1"/>
  <c r="R96" i="15"/>
  <c r="R96" i="15" a="1"/>
  <c r="P96" i="15" a="1"/>
  <c r="P96" i="15" s="1"/>
  <c r="N96" i="15" a="1"/>
  <c r="N96" i="15" s="1"/>
  <c r="BP94" i="15"/>
  <c r="BP93" i="15"/>
  <c r="BP92" i="15"/>
  <c r="BP88" i="15"/>
  <c r="BP87" i="15"/>
  <c r="BP86" i="15"/>
  <c r="BP85" i="15"/>
  <c r="R85" i="15" a="1"/>
  <c r="R85" i="15" s="1"/>
  <c r="P85" i="15" a="1"/>
  <c r="P85" i="15" s="1"/>
  <c r="N85" i="15" a="1"/>
  <c r="N85" i="15" s="1"/>
  <c r="BP84" i="15"/>
  <c r="BP83" i="15"/>
  <c r="BP82" i="15"/>
  <c r="BP81" i="15"/>
  <c r="BP80" i="15"/>
  <c r="R80" i="15" a="1"/>
  <c r="R80" i="15" s="1"/>
  <c r="P80" i="15" a="1"/>
  <c r="P80" i="15" s="1"/>
  <c r="N80" i="15"/>
  <c r="N80" i="15" a="1"/>
  <c r="BP79" i="15"/>
  <c r="BN75" i="15"/>
  <c r="BO75" i="15" s="1"/>
  <c r="BN74" i="15"/>
  <c r="BO74" i="15" s="1"/>
  <c r="BN73" i="15"/>
  <c r="BO73" i="15" s="1"/>
  <c r="CA72" i="15"/>
  <c r="BN72" i="15"/>
  <c r="BO72" i="15" s="1"/>
  <c r="BN71" i="15"/>
  <c r="BO71" i="15" s="1"/>
  <c r="BN70" i="15"/>
  <c r="BO70" i="15" s="1"/>
  <c r="R70" i="15" a="1"/>
  <c r="R70" i="15" s="1"/>
  <c r="P70" i="15" a="1"/>
  <c r="P70" i="15" s="1"/>
  <c r="N70" i="15" a="1"/>
  <c r="N70" i="15" s="1"/>
  <c r="BN69" i="15"/>
  <c r="BO69" i="15" s="1"/>
  <c r="CA68" i="15"/>
  <c r="BN68" i="15"/>
  <c r="BO68" i="15" s="1"/>
  <c r="BO67" i="15"/>
  <c r="BL67" i="15" s="1"/>
  <c r="BN67" i="15"/>
  <c r="BN66" i="15"/>
  <c r="BO66" i="15" s="1"/>
  <c r="CM59" i="15" s="1"/>
  <c r="BN65" i="15"/>
  <c r="BO65" i="15" s="1"/>
  <c r="CA58" i="15" s="1"/>
  <c r="BN64" i="15"/>
  <c r="BO64" i="15" s="1"/>
  <c r="BN63" i="15"/>
  <c r="BO63" i="15" s="1"/>
  <c r="BN62" i="15"/>
  <c r="BO62" i="15" s="1"/>
  <c r="CM55" i="15" s="1"/>
  <c r="BN61" i="15"/>
  <c r="BO61" i="15" s="1"/>
  <c r="CM60" i="15"/>
  <c r="BN60" i="15"/>
  <c r="BO60" i="15" s="1"/>
  <c r="BN59" i="15"/>
  <c r="BO59" i="15" s="1"/>
  <c r="CA52" i="15" s="1"/>
  <c r="BN58" i="15"/>
  <c r="BO58" i="15" s="1"/>
  <c r="BO57" i="15"/>
  <c r="BL57" i="15" s="1"/>
  <c r="BN57" i="15"/>
  <c r="BN56" i="15"/>
  <c r="BO56" i="15" s="1"/>
  <c r="BN55" i="15"/>
  <c r="BO55" i="15" s="1"/>
  <c r="CM48" i="15" s="1"/>
  <c r="AU55" i="15"/>
  <c r="AV55" i="15" s="1"/>
  <c r="AB55" i="15"/>
  <c r="AC55" i="15" s="1"/>
  <c r="AM68" i="15" s="1"/>
  <c r="I55" i="15"/>
  <c r="J55" i="15" s="1"/>
  <c r="BN54" i="15"/>
  <c r="AU54" i="15"/>
  <c r="AV54" i="15" s="1"/>
  <c r="AS54" i="15" s="1"/>
  <c r="AC54" i="15"/>
  <c r="AM67" i="15" s="1"/>
  <c r="AB54" i="15"/>
  <c r="I54" i="15"/>
  <c r="J54" i="15" s="1"/>
  <c r="CA53" i="15"/>
  <c r="BN53" i="15"/>
  <c r="BO53" i="15" s="1"/>
  <c r="CA46" i="15" s="1"/>
  <c r="AU53" i="15"/>
  <c r="AV53" i="15" s="1"/>
  <c r="BF66" i="15" s="1"/>
  <c r="AB53" i="15"/>
  <c r="AC53" i="15" s="1"/>
  <c r="AM66" i="15" s="1"/>
  <c r="J53" i="15"/>
  <c r="I53" i="15"/>
  <c r="BN52" i="15"/>
  <c r="BO52" i="15" s="1"/>
  <c r="AU52" i="15"/>
  <c r="AV52" i="15" s="1"/>
  <c r="AB52" i="15"/>
  <c r="AC52" i="15" s="1"/>
  <c r="AM65" i="15" s="1"/>
  <c r="J52" i="15"/>
  <c r="T65" i="15" s="1"/>
  <c r="I52" i="15"/>
  <c r="CM51" i="15"/>
  <c r="BN51" i="15"/>
  <c r="BO51" i="15" s="1"/>
  <c r="CA44" i="15" s="1"/>
  <c r="AU51" i="15"/>
  <c r="AV51" i="15" s="1"/>
  <c r="AS51" i="15" s="1"/>
  <c r="AB51" i="15"/>
  <c r="AC51" i="15" s="1"/>
  <c r="I51" i="15"/>
  <c r="J51" i="15" s="1"/>
  <c r="CM50" i="15"/>
  <c r="CA50" i="15"/>
  <c r="AU50" i="15"/>
  <c r="AV50" i="15" s="1"/>
  <c r="AB50" i="15"/>
  <c r="AC50" i="15" s="1"/>
  <c r="AM63" i="15" s="1"/>
  <c r="I50" i="15"/>
  <c r="J50" i="15" s="1"/>
  <c r="Z50" i="15" s="1"/>
  <c r="AU49" i="15"/>
  <c r="AV49" i="15" s="1"/>
  <c r="AS49" i="15" s="1"/>
  <c r="AB49" i="15"/>
  <c r="AC49" i="15" s="1"/>
  <c r="AM62" i="15" s="1"/>
  <c r="I49" i="15"/>
  <c r="J49" i="15" s="1"/>
  <c r="Z49" i="15" s="1"/>
  <c r="AU48" i="15"/>
  <c r="AV48" i="15" s="1"/>
  <c r="AB48" i="15"/>
  <c r="AC48" i="15" s="1"/>
  <c r="AM61" i="15" s="1"/>
  <c r="I48" i="15"/>
  <c r="J48" i="15" s="1"/>
  <c r="BP47" i="15"/>
  <c r="AU47" i="15"/>
  <c r="AV47" i="15" s="1"/>
  <c r="AS47" i="15" s="1"/>
  <c r="AB47" i="15"/>
  <c r="AC47" i="15" s="1"/>
  <c r="AM60" i="15" s="1"/>
  <c r="I47" i="15"/>
  <c r="J47" i="15" s="1"/>
  <c r="BP46" i="15"/>
  <c r="AU46" i="15"/>
  <c r="AV46" i="15" s="1"/>
  <c r="AB46" i="15"/>
  <c r="AC46" i="15" s="1"/>
  <c r="AM59" i="15" s="1"/>
  <c r="I46" i="15"/>
  <c r="J46" i="15" s="1"/>
  <c r="CA45" i="15"/>
  <c r="BP45" i="15"/>
  <c r="AU45" i="15"/>
  <c r="AV45" i="15" s="1"/>
  <c r="AS45" i="15" s="1"/>
  <c r="AB45" i="15"/>
  <c r="AC45" i="15" s="1"/>
  <c r="AM58" i="15" s="1"/>
  <c r="I45" i="15"/>
  <c r="J45" i="15" s="1"/>
  <c r="BP44" i="15"/>
  <c r="AU44" i="15"/>
  <c r="AV44" i="15" s="1"/>
  <c r="AB44" i="15"/>
  <c r="AC44" i="15" s="1"/>
  <c r="AM57" i="15" s="1"/>
  <c r="R44" i="15" a="1"/>
  <c r="R44" i="15" s="1"/>
  <c r="P44" i="15" a="1"/>
  <c r="P44" i="15" s="1"/>
  <c r="N44" i="15" a="1"/>
  <c r="N44" i="15" s="1"/>
  <c r="I44" i="15"/>
  <c r="J44" i="15" s="1"/>
  <c r="T57" i="15" s="1"/>
  <c r="BP43" i="15"/>
  <c r="AU43" i="15"/>
  <c r="AV43" i="15" s="1"/>
  <c r="AS43" i="15" s="1"/>
  <c r="AB43" i="15"/>
  <c r="AC43" i="15" s="1"/>
  <c r="I43" i="15"/>
  <c r="J43" i="15" s="1"/>
  <c r="T56" i="15" s="1"/>
  <c r="AU42" i="15"/>
  <c r="AV42" i="15" s="1"/>
  <c r="AB42" i="15"/>
  <c r="AC42" i="15" s="1"/>
  <c r="AM55" i="15" s="1"/>
  <c r="I42" i="15"/>
  <c r="J42" i="15" s="1"/>
  <c r="AU41" i="15"/>
  <c r="AV41" i="15" s="1"/>
  <c r="AS41" i="15" s="1"/>
  <c r="AB41" i="15"/>
  <c r="AC41" i="15" s="1"/>
  <c r="AM54" i="15" s="1"/>
  <c r="I41" i="15"/>
  <c r="J41" i="15" s="1"/>
  <c r="AU40" i="15"/>
  <c r="AV40" i="15" s="1"/>
  <c r="AB40" i="15"/>
  <c r="AC40" i="15" s="1"/>
  <c r="AM53" i="15" s="1"/>
  <c r="I40" i="15"/>
  <c r="J40" i="15" s="1"/>
  <c r="BP39" i="15"/>
  <c r="AU39" i="15"/>
  <c r="AV39" i="15" s="1"/>
  <c r="AS39" i="15" s="1"/>
  <c r="AB39" i="15"/>
  <c r="AC39" i="15" s="1"/>
  <c r="I39" i="15"/>
  <c r="J39" i="15" s="1"/>
  <c r="T52" i="15" s="1"/>
  <c r="BP38" i="15"/>
  <c r="AU38" i="15"/>
  <c r="AV38" i="15" s="1"/>
  <c r="AC38" i="15"/>
  <c r="AM51" i="15" s="1"/>
  <c r="AB38" i="15"/>
  <c r="R38" i="15" a="1"/>
  <c r="R38" i="15" s="1"/>
  <c r="J38" i="15"/>
  <c r="I38" i="15"/>
  <c r="BP37" i="15"/>
  <c r="AU37" i="15"/>
  <c r="AV37" i="15" s="1"/>
  <c r="AB37" i="15"/>
  <c r="AC37" i="15" s="1"/>
  <c r="AM50" i="15" s="1"/>
  <c r="I37" i="15"/>
  <c r="J37" i="15" s="1"/>
  <c r="BP36" i="15"/>
  <c r="AU36" i="15"/>
  <c r="AV36" i="15" s="1"/>
  <c r="AB36" i="15"/>
  <c r="AC36" i="15" s="1"/>
  <c r="AM49" i="15" s="1"/>
  <c r="I36" i="15"/>
  <c r="J36" i="15" s="1"/>
  <c r="T49" i="15" s="1"/>
  <c r="BP35" i="15"/>
  <c r="AU35" i="15"/>
  <c r="AV35" i="15" s="1"/>
  <c r="AS35" i="15" s="1"/>
  <c r="AB35" i="15"/>
  <c r="AC35" i="15" s="1"/>
  <c r="AM48" i="15" s="1"/>
  <c r="I35" i="15"/>
  <c r="J35" i="15" s="1"/>
  <c r="BP34" i="15"/>
  <c r="AU34" i="15"/>
  <c r="AV34" i="15" s="1"/>
  <c r="AB34" i="15"/>
  <c r="AC34" i="15" s="1"/>
  <c r="AM47" i="15" s="1"/>
  <c r="I34" i="15"/>
  <c r="J34" i="15" s="1"/>
  <c r="BP33" i="15"/>
  <c r="AU33" i="15"/>
  <c r="AV33" i="15" s="1"/>
  <c r="AB33" i="15"/>
  <c r="AC33" i="15" s="1"/>
  <c r="AM46" i="15" s="1"/>
  <c r="J33" i="15"/>
  <c r="T46" i="15" s="1"/>
  <c r="I33" i="15"/>
  <c r="BP32" i="15"/>
  <c r="AV32" i="15"/>
  <c r="AS32" i="15" s="1"/>
  <c r="AU32" i="15"/>
  <c r="AB32" i="15"/>
  <c r="AC32" i="15" s="1"/>
  <c r="AM45" i="15" s="1"/>
  <c r="I32" i="15"/>
  <c r="J32" i="15" s="1"/>
  <c r="BP31" i="15"/>
  <c r="AU31" i="15"/>
  <c r="AV31" i="15" s="1"/>
  <c r="AB31" i="15"/>
  <c r="AC31" i="15" s="1"/>
  <c r="AM44" i="15" s="1"/>
  <c r="I31" i="15"/>
  <c r="M44" i="15" s="1" a="1"/>
  <c r="BP27" i="15"/>
  <c r="BP26" i="15"/>
  <c r="BP22" i="15"/>
  <c r="BP21" i="15"/>
  <c r="BP20" i="15"/>
  <c r="BP19" i="15"/>
  <c r="AA82" i="14"/>
  <c r="Y82" i="14"/>
  <c r="X82" i="14"/>
  <c r="W82" i="14"/>
  <c r="V82" i="14"/>
  <c r="U82" i="14"/>
  <c r="Z76" i="14"/>
  <c r="Z76" i="14" a="1"/>
  <c r="X76" i="14"/>
  <c r="X76" i="14" a="1"/>
  <c r="V76" i="14"/>
  <c r="V76" i="14" a="1"/>
  <c r="Z72" i="14"/>
  <c r="Z72" i="14" a="1"/>
  <c r="X72" i="14"/>
  <c r="X72" i="14" a="1"/>
  <c r="V72" i="14"/>
  <c r="V72" i="14" a="1"/>
  <c r="Z69" i="14"/>
  <c r="Z69" i="14" a="1"/>
  <c r="X69" i="14"/>
  <c r="X69" i="14" a="1"/>
  <c r="V69" i="14"/>
  <c r="V69" i="14" a="1"/>
  <c r="Z58" i="14"/>
  <c r="Z58" i="14" a="1"/>
  <c r="X58" i="14"/>
  <c r="X58" i="14" a="1"/>
  <c r="V58" i="14"/>
  <c r="V58" i="14" a="1"/>
  <c r="Z53" i="14"/>
  <c r="Z53" i="14" a="1"/>
  <c r="X53" i="14"/>
  <c r="X53" i="14" a="1"/>
  <c r="V53" i="14"/>
  <c r="V53" i="14" a="1"/>
  <c r="Z43" i="14"/>
  <c r="Z43" i="14" a="1"/>
  <c r="X43" i="14"/>
  <c r="X43" i="14" a="1"/>
  <c r="V43" i="14"/>
  <c r="V43" i="14" a="1"/>
  <c r="AA41" i="14"/>
  <c r="Z41" i="14"/>
  <c r="Y41" i="14"/>
  <c r="X41" i="14"/>
  <c r="W41" i="14"/>
  <c r="V41" i="14"/>
  <c r="Z40" i="14"/>
  <c r="X40" i="14"/>
  <c r="V40" i="14"/>
  <c r="Z39" i="14"/>
  <c r="X39" i="14"/>
  <c r="V39" i="14"/>
  <c r="Z38" i="14"/>
  <c r="X38" i="14"/>
  <c r="V38" i="14"/>
  <c r="Z37" i="14"/>
  <c r="X37" i="14"/>
  <c r="V37" i="14"/>
  <c r="Z36" i="14"/>
  <c r="X36" i="14"/>
  <c r="V36" i="14"/>
  <c r="Z35" i="14"/>
  <c r="X35" i="14"/>
  <c r="V35" i="14"/>
  <c r="Z34" i="14"/>
  <c r="X34" i="14"/>
  <c r="V34" i="14"/>
  <c r="Z33" i="14"/>
  <c r="X33" i="14"/>
  <c r="V33" i="14"/>
  <c r="Z32" i="14"/>
  <c r="X32" i="14"/>
  <c r="V32" i="14"/>
  <c r="Z31" i="14"/>
  <c r="X31" i="14"/>
  <c r="V31" i="14"/>
  <c r="Z30" i="14"/>
  <c r="X30" i="14"/>
  <c r="V30" i="14"/>
  <c r="Z29" i="14"/>
  <c r="X29" i="14"/>
  <c r="V29" i="14"/>
  <c r="Z28" i="14"/>
  <c r="X28" i="14"/>
  <c r="V28" i="14"/>
  <c r="Z27" i="14"/>
  <c r="X27" i="14"/>
  <c r="V27" i="14"/>
  <c r="Z26" i="14"/>
  <c r="X26" i="14"/>
  <c r="V26" i="14"/>
  <c r="Z25" i="14"/>
  <c r="X25" i="14"/>
  <c r="V25" i="14"/>
  <c r="Z24" i="14"/>
  <c r="X24" i="14"/>
  <c r="V24" i="14"/>
  <c r="Z23" i="14"/>
  <c r="X23" i="14"/>
  <c r="V23" i="14"/>
  <c r="Z22" i="14"/>
  <c r="X22" i="14"/>
  <c r="V22" i="14"/>
  <c r="Z21" i="14"/>
  <c r="X21" i="14"/>
  <c r="V21" i="14"/>
  <c r="Z20" i="14"/>
  <c r="X20" i="14"/>
  <c r="V20" i="14"/>
  <c r="Z19" i="14"/>
  <c r="X19" i="14"/>
  <c r="V19" i="14"/>
  <c r="Z18" i="14"/>
  <c r="X18" i="14"/>
  <c r="V18" i="14"/>
  <c r="Z17" i="14"/>
  <c r="X17" i="14"/>
  <c r="V17" i="14"/>
  <c r="Z11" i="14"/>
  <c r="Z11" i="14" a="1"/>
  <c r="AA82" i="13"/>
  <c r="Y82" i="13"/>
  <c r="X82" i="13"/>
  <c r="W82" i="13"/>
  <c r="V82" i="13"/>
  <c r="U82" i="13"/>
  <c r="AI78" i="13"/>
  <c r="AG78" i="13"/>
  <c r="AE78" i="13"/>
  <c r="AI76" i="13"/>
  <c r="AG76" i="13"/>
  <c r="AE76" i="13"/>
  <c r="AG70" i="13"/>
  <c r="AF70" i="13"/>
  <c r="AE70" i="13"/>
  <c r="AE66" i="13"/>
  <c r="AD66" i="13"/>
  <c r="Z53" i="13"/>
  <c r="Z53" i="13" a="1"/>
  <c r="X53" i="13"/>
  <c r="X53" i="13" a="1"/>
  <c r="V53" i="13"/>
  <c r="V53" i="13" a="1"/>
  <c r="Z43" i="13"/>
  <c r="Z43" i="13" a="1"/>
  <c r="X43" i="13"/>
  <c r="X43" i="13" a="1"/>
  <c r="V43" i="13"/>
  <c r="V43" i="13" a="1"/>
  <c r="Z17" i="13"/>
  <c r="Z17" i="13" a="1"/>
  <c r="X17" i="13"/>
  <c r="X17" i="13" a="1"/>
  <c r="V17" i="13"/>
  <c r="V17" i="13" a="1"/>
  <c r="Z11" i="13"/>
  <c r="Z11" i="13" a="1"/>
  <c r="AL7" i="13"/>
  <c r="AA82" i="10"/>
  <c r="Y82" i="10"/>
  <c r="X82" i="10"/>
  <c r="W82" i="10"/>
  <c r="V82" i="10"/>
  <c r="U82" i="10"/>
  <c r="Z76" i="10"/>
  <c r="Z76" i="10" a="1"/>
  <c r="X76" i="10"/>
  <c r="X76" i="10" a="1"/>
  <c r="V76" i="10"/>
  <c r="V76" i="10" a="1"/>
  <c r="Z72" i="10"/>
  <c r="Z72" i="10" a="1"/>
  <c r="X72" i="10"/>
  <c r="X72" i="10" a="1"/>
  <c r="V72" i="10"/>
  <c r="V72" i="10" a="1"/>
  <c r="Z69" i="10"/>
  <c r="Z69" i="10" a="1"/>
  <c r="X69" i="10"/>
  <c r="X69" i="10" a="1"/>
  <c r="V69" i="10"/>
  <c r="V69" i="10" a="1"/>
  <c r="Z58" i="10"/>
  <c r="Z58" i="10" a="1"/>
  <c r="X58" i="10"/>
  <c r="X58" i="10" a="1"/>
  <c r="V58" i="10"/>
  <c r="V58" i="10" a="1"/>
  <c r="Z53" i="10"/>
  <c r="Z53" i="10" a="1"/>
  <c r="X53" i="10"/>
  <c r="X53" i="10" a="1"/>
  <c r="V53" i="10"/>
  <c r="V53" i="10" a="1"/>
  <c r="Z43" i="10"/>
  <c r="Z43" i="10" a="1"/>
  <c r="X43" i="10"/>
  <c r="X43" i="10" a="1"/>
  <c r="V43" i="10"/>
  <c r="V43" i="10" a="1"/>
  <c r="AA41" i="10"/>
  <c r="Z41" i="10"/>
  <c r="Y41" i="10"/>
  <c r="X41" i="10"/>
  <c r="W41" i="10"/>
  <c r="V41" i="10"/>
  <c r="Z40" i="10"/>
  <c r="X40" i="10"/>
  <c r="V40" i="10"/>
  <c r="Z39" i="10"/>
  <c r="X39" i="10"/>
  <c r="V39" i="10"/>
  <c r="Z38" i="10"/>
  <c r="X38" i="10"/>
  <c r="V38" i="10"/>
  <c r="Z37" i="10"/>
  <c r="X37" i="10"/>
  <c r="V37" i="10"/>
  <c r="Z36" i="10"/>
  <c r="X36" i="10"/>
  <c r="V36" i="10"/>
  <c r="Z35" i="10"/>
  <c r="X35" i="10"/>
  <c r="V35" i="10"/>
  <c r="Z34" i="10"/>
  <c r="X34" i="10"/>
  <c r="V34" i="10"/>
  <c r="Z33" i="10"/>
  <c r="X33" i="10"/>
  <c r="V33" i="10"/>
  <c r="Z32" i="10"/>
  <c r="X32" i="10"/>
  <c r="V32" i="10"/>
  <c r="Z31" i="10"/>
  <c r="X31" i="10"/>
  <c r="V31" i="10"/>
  <c r="Z30" i="10"/>
  <c r="X30" i="10"/>
  <c r="V30" i="10"/>
  <c r="Z29" i="10"/>
  <c r="X29" i="10"/>
  <c r="V29" i="10"/>
  <c r="Z28" i="10"/>
  <c r="X28" i="10"/>
  <c r="V28" i="10"/>
  <c r="Z27" i="10"/>
  <c r="X27" i="10"/>
  <c r="V27" i="10"/>
  <c r="Z26" i="10"/>
  <c r="X26" i="10"/>
  <c r="V26" i="10"/>
  <c r="Z25" i="10"/>
  <c r="X25" i="10"/>
  <c r="V25" i="10"/>
  <c r="Z24" i="10"/>
  <c r="X24" i="10"/>
  <c r="V24" i="10"/>
  <c r="Z23" i="10"/>
  <c r="X23" i="10"/>
  <c r="V23" i="10"/>
  <c r="Z22" i="10"/>
  <c r="X22" i="10"/>
  <c r="V22" i="10"/>
  <c r="Z21" i="10"/>
  <c r="X21" i="10"/>
  <c r="V21" i="10"/>
  <c r="Z20" i="10"/>
  <c r="X20" i="10"/>
  <c r="V20" i="10"/>
  <c r="Z19" i="10"/>
  <c r="X19" i="10"/>
  <c r="V19" i="10"/>
  <c r="Z18" i="10"/>
  <c r="X18" i="10"/>
  <c r="V18" i="10"/>
  <c r="Z17" i="10"/>
  <c r="X17" i="10"/>
  <c r="V17" i="10"/>
  <c r="Z11" i="10"/>
  <c r="Z11" i="10" a="1"/>
  <c r="Z105" i="9"/>
  <c r="Y105" i="9"/>
  <c r="X105" i="9"/>
  <c r="W105" i="9"/>
  <c r="V105" i="9"/>
  <c r="U105" i="9"/>
  <c r="T105" i="9"/>
  <c r="Y99" i="9"/>
  <c r="Y99" i="9" a="1"/>
  <c r="W99" i="9"/>
  <c r="W99" i="9" a="1"/>
  <c r="U99" i="9"/>
  <c r="U99" i="9" a="1"/>
  <c r="Y95" i="9"/>
  <c r="Y95" i="9" a="1"/>
  <c r="W95" i="9"/>
  <c r="W95" i="9" a="1"/>
  <c r="U95" i="9"/>
  <c r="U95" i="9" a="1"/>
  <c r="Y92" i="9"/>
  <c r="Y92" i="9" a="1"/>
  <c r="W92" i="9"/>
  <c r="W92" i="9" a="1"/>
  <c r="U92" i="9"/>
  <c r="U92" i="9" a="1"/>
  <c r="AH82" i="9"/>
  <c r="AH81" i="9"/>
  <c r="Y81" i="9"/>
  <c r="Y81" i="9" a="1"/>
  <c r="W81" i="9"/>
  <c r="W81" i="9" a="1"/>
  <c r="U81" i="9"/>
  <c r="U81" i="9" a="1"/>
  <c r="AH80" i="9"/>
  <c r="AH79" i="9"/>
  <c r="AL78" i="9"/>
  <c r="AH78" i="9"/>
  <c r="AE78" i="9"/>
  <c r="AL77" i="9"/>
  <c r="AH77" i="9"/>
  <c r="AE77" i="9"/>
  <c r="P77" i="9"/>
  <c r="AB70" i="10" s="1"/>
  <c r="O77" i="9"/>
  <c r="AL76" i="9"/>
  <c r="AE76" i="9"/>
  <c r="Y76" i="9"/>
  <c r="Y76" i="9" a="1"/>
  <c r="W76" i="9"/>
  <c r="W76" i="9" a="1"/>
  <c r="U76" i="9"/>
  <c r="U76" i="9" a="1"/>
  <c r="AL75" i="9"/>
  <c r="AE75" i="9"/>
  <c r="AL74" i="9"/>
  <c r="AE74" i="9"/>
  <c r="AH69" i="9"/>
  <c r="AH68" i="9"/>
  <c r="AH67" i="9"/>
  <c r="AH66" i="9"/>
  <c r="Y66" i="9"/>
  <c r="Y66" i="9" a="1"/>
  <c r="W66" i="9"/>
  <c r="W66" i="9" a="1"/>
  <c r="U66" i="9"/>
  <c r="U66" i="9" a="1"/>
  <c r="AH65" i="9"/>
  <c r="AH64" i="9"/>
  <c r="Z64" i="9"/>
  <c r="X64" i="9"/>
  <c r="V64" i="9"/>
  <c r="AE61" i="9"/>
  <c r="AE61" i="9" a="1"/>
  <c r="AH56" i="9"/>
  <c r="AH55" i="9"/>
  <c r="AH54" i="9"/>
  <c r="AH53" i="9"/>
  <c r="AH52" i="9"/>
  <c r="AH51" i="9"/>
  <c r="AE48" i="9"/>
  <c r="AE48" i="9" a="1"/>
  <c r="AH43" i="9"/>
  <c r="AH42" i="9"/>
  <c r="AH41" i="9"/>
  <c r="AH40" i="9"/>
  <c r="Y40" i="9"/>
  <c r="Y40" i="9" a="1"/>
  <c r="W40" i="9"/>
  <c r="W40" i="9" a="1"/>
  <c r="U40" i="9"/>
  <c r="U40" i="9" a="1"/>
  <c r="AH39" i="9"/>
  <c r="AH38" i="9"/>
  <c r="AE35" i="9"/>
  <c r="AE35" i="9" a="1"/>
  <c r="Y34" i="9"/>
  <c r="Y34" i="9" a="1"/>
  <c r="AH30" i="9"/>
  <c r="AH29" i="9"/>
  <c r="AH28" i="9"/>
  <c r="AH27" i="9"/>
  <c r="AH26" i="9"/>
  <c r="AH25" i="9"/>
  <c r="P23" i="9"/>
  <c r="AB49" i="10" s="1"/>
  <c r="AE22" i="9"/>
  <c r="AE22" i="9" a="1"/>
  <c r="P22" i="9"/>
  <c r="BL36" i="15" s="1"/>
  <c r="O22" i="9"/>
  <c r="V21" i="9"/>
  <c r="P21" i="9"/>
  <c r="AB47" i="10" s="1"/>
  <c r="P20" i="9"/>
  <c r="AB46" i="10" s="1"/>
  <c r="P18" i="9"/>
  <c r="BL32" i="15" s="1"/>
  <c r="O18" i="9"/>
  <c r="AE17" i="9"/>
  <c r="AE16" i="9"/>
  <c r="AE15" i="9"/>
  <c r="AE14" i="9"/>
  <c r="AE13" i="9"/>
  <c r="AB13" i="9"/>
  <c r="Y13" i="9"/>
  <c r="AE12" i="9"/>
  <c r="AB12" i="9"/>
  <c r="Y12" i="9"/>
  <c r="AB11" i="9"/>
  <c r="Y11" i="9"/>
  <c r="AB10" i="9"/>
  <c r="Y10" i="9"/>
  <c r="AB9" i="9"/>
  <c r="X24" i="12"/>
  <c r="V24" i="12"/>
  <c r="T24" i="12"/>
  <c r="Q24" i="12"/>
  <c r="O24" i="12"/>
  <c r="M24" i="12"/>
  <c r="J24" i="12"/>
  <c r="H24" i="12"/>
  <c r="F24" i="12"/>
  <c r="X22" i="12"/>
  <c r="V22" i="12"/>
  <c r="T22" i="12"/>
  <c r="Q22" i="12"/>
  <c r="O22" i="12"/>
  <c r="M22" i="12"/>
  <c r="J22" i="12"/>
  <c r="H22" i="12"/>
  <c r="F22" i="12"/>
  <c r="V16" i="12"/>
  <c r="O16" i="12"/>
  <c r="H16" i="12"/>
  <c r="W15" i="12"/>
  <c r="W14" i="12"/>
  <c r="AA82" i="11"/>
  <c r="Y82" i="11"/>
  <c r="X82" i="11"/>
  <c r="W82" i="11"/>
  <c r="V82" i="11"/>
  <c r="U82" i="11"/>
  <c r="Z76" i="11"/>
  <c r="Z76" i="11" a="1"/>
  <c r="X76" i="11"/>
  <c r="X76" i="11" a="1"/>
  <c r="V76" i="11"/>
  <c r="V76" i="11" a="1"/>
  <c r="Z72" i="11"/>
  <c r="Z72" i="11" a="1"/>
  <c r="X72" i="11"/>
  <c r="X72" i="11" a="1"/>
  <c r="V72" i="11"/>
  <c r="V72" i="11" a="1"/>
  <c r="Z69" i="11"/>
  <c r="Z69" i="11" a="1"/>
  <c r="X69" i="11"/>
  <c r="X69" i="11" a="1"/>
  <c r="V69" i="11"/>
  <c r="V69" i="11" a="1"/>
  <c r="Z58" i="11"/>
  <c r="Z58" i="11" a="1"/>
  <c r="X58" i="11"/>
  <c r="X58" i="11" a="1"/>
  <c r="V58" i="11"/>
  <c r="V58" i="11" a="1"/>
  <c r="Z53" i="11"/>
  <c r="Z53" i="11" a="1"/>
  <c r="X53" i="11"/>
  <c r="X53" i="11" a="1"/>
  <c r="V53" i="11"/>
  <c r="V53" i="11" a="1"/>
  <c r="Z43" i="11"/>
  <c r="Z43" i="11" a="1"/>
  <c r="X43" i="11"/>
  <c r="X43" i="11" a="1"/>
  <c r="V43" i="11"/>
  <c r="V43" i="11" a="1"/>
  <c r="Z41" i="11"/>
  <c r="X41" i="11"/>
  <c r="V41" i="11"/>
  <c r="Z40" i="11"/>
  <c r="X40" i="11"/>
  <c r="V40" i="11"/>
  <c r="Z39" i="11"/>
  <c r="X39" i="11"/>
  <c r="V39" i="11"/>
  <c r="Z38" i="11"/>
  <c r="X38" i="11"/>
  <c r="V38" i="11"/>
  <c r="Z37" i="11"/>
  <c r="X37" i="11"/>
  <c r="V37" i="11"/>
  <c r="Z36" i="11"/>
  <c r="X36" i="11"/>
  <c r="V36" i="11"/>
  <c r="Z35" i="11"/>
  <c r="X35" i="11"/>
  <c r="V35" i="11"/>
  <c r="Z34" i="11"/>
  <c r="X34" i="11"/>
  <c r="V34" i="11"/>
  <c r="Z33" i="11"/>
  <c r="X33" i="11"/>
  <c r="V33" i="11"/>
  <c r="Z32" i="11"/>
  <c r="X32" i="11"/>
  <c r="V32" i="11"/>
  <c r="Z31" i="11"/>
  <c r="X31" i="11"/>
  <c r="V31" i="11"/>
  <c r="Z30" i="11"/>
  <c r="X30" i="11"/>
  <c r="V30" i="11"/>
  <c r="Z29" i="11"/>
  <c r="X29" i="11"/>
  <c r="V29" i="11"/>
  <c r="Z28" i="11"/>
  <c r="X28" i="11"/>
  <c r="V28" i="11"/>
  <c r="Z27" i="11"/>
  <c r="X27" i="11"/>
  <c r="V27" i="11"/>
  <c r="Z26" i="11"/>
  <c r="X26" i="11"/>
  <c r="V26" i="11"/>
  <c r="Z25" i="11"/>
  <c r="X25" i="11"/>
  <c r="V25" i="11"/>
  <c r="Z24" i="11"/>
  <c r="X24" i="11"/>
  <c r="V24" i="11"/>
  <c r="Z23" i="11"/>
  <c r="X23" i="11"/>
  <c r="V23" i="11"/>
  <c r="Z22" i="11"/>
  <c r="X22" i="11"/>
  <c r="V22" i="11"/>
  <c r="Z21" i="11"/>
  <c r="X21" i="11"/>
  <c r="V21" i="11"/>
  <c r="Z20" i="11"/>
  <c r="X20" i="11"/>
  <c r="V20" i="11"/>
  <c r="Z19" i="11"/>
  <c r="X19" i="11"/>
  <c r="V19" i="11"/>
  <c r="Z18" i="11"/>
  <c r="X18" i="11"/>
  <c r="V18" i="11"/>
  <c r="Z17" i="11"/>
  <c r="X17" i="11"/>
  <c r="V17" i="11"/>
  <c r="Z11" i="11"/>
  <c r="Z11" i="11" a="1"/>
  <c r="AB13" i="16"/>
  <c r="AE13" i="16" s="1"/>
  <c r="AF13" i="16" s="1"/>
  <c r="AB12" i="16"/>
  <c r="AE12" i="16" s="1"/>
  <c r="AF12" i="16" s="1"/>
  <c r="AB11" i="16"/>
  <c r="AE11" i="16" s="1"/>
  <c r="AF11" i="16" s="1"/>
  <c r="AB10" i="16"/>
  <c r="AE10" i="16" s="1"/>
  <c r="AF10" i="16" s="1"/>
  <c r="AG9" i="16"/>
  <c r="AE9" i="16"/>
  <c r="AF9" i="16" s="1"/>
  <c r="N13" i="8"/>
  <c r="AK119" i="4"/>
  <c r="AG119" i="4"/>
  <c r="AK118" i="4"/>
  <c r="AG118" i="4"/>
  <c r="AK117" i="4"/>
  <c r="AG117" i="4"/>
  <c r="AK116" i="4"/>
  <c r="AG116" i="4"/>
  <c r="AK115" i="4"/>
  <c r="AG115" i="4"/>
  <c r="AK114" i="4"/>
  <c r="AG114" i="4"/>
  <c r="AK113" i="4"/>
  <c r="AG113" i="4"/>
  <c r="AK112" i="4"/>
  <c r="AG112" i="4"/>
  <c r="AK111" i="4"/>
  <c r="AG111" i="4"/>
  <c r="AK110" i="4"/>
  <c r="AG110" i="4"/>
  <c r="AK109" i="4"/>
  <c r="AG109" i="4"/>
  <c r="AK108" i="4"/>
  <c r="AG108" i="4"/>
  <c r="AK107" i="4"/>
  <c r="AG107" i="4"/>
  <c r="AK106" i="4"/>
  <c r="AG106" i="4"/>
  <c r="AK105" i="4"/>
  <c r="AG105" i="4"/>
  <c r="AK104" i="4"/>
  <c r="AG104" i="4"/>
  <c r="AK103" i="4"/>
  <c r="AG103" i="4"/>
  <c r="AK102" i="4"/>
  <c r="AG102" i="4"/>
  <c r="AK101" i="4"/>
  <c r="AG101" i="4"/>
  <c r="AK100" i="4"/>
  <c r="AG100" i="4"/>
  <c r="AK99" i="4"/>
  <c r="AG99" i="4"/>
  <c r="AK98" i="4"/>
  <c r="AG98" i="4"/>
  <c r="AK97" i="4"/>
  <c r="AG97" i="4"/>
  <c r="AK96" i="4"/>
  <c r="AG96" i="4"/>
  <c r="AK95" i="4"/>
  <c r="AG95" i="4"/>
  <c r="AK94" i="4"/>
  <c r="AG94" i="4"/>
  <c r="AK93" i="4"/>
  <c r="AG93" i="4"/>
  <c r="AK92" i="4"/>
  <c r="AG92" i="4"/>
  <c r="AK91" i="4"/>
  <c r="AG91" i="4"/>
  <c r="AK90" i="4"/>
  <c r="AG90" i="4"/>
  <c r="AK89" i="4"/>
  <c r="AG89" i="4"/>
  <c r="AK88" i="4"/>
  <c r="AG88" i="4"/>
  <c r="AK87" i="4"/>
  <c r="AG87" i="4"/>
  <c r="AK86" i="4"/>
  <c r="AG86" i="4"/>
  <c r="AK85" i="4"/>
  <c r="AG85" i="4"/>
  <c r="AK84" i="4"/>
  <c r="AG84" i="4"/>
  <c r="AK83" i="4"/>
  <c r="AG83" i="4"/>
  <c r="AK82" i="4"/>
  <c r="AG82" i="4"/>
  <c r="AK81" i="4"/>
  <c r="AG81" i="4"/>
  <c r="AK80" i="4"/>
  <c r="AG80" i="4"/>
  <c r="AK79" i="4"/>
  <c r="AG79" i="4"/>
  <c r="AK78" i="4"/>
  <c r="AG78" i="4"/>
  <c r="AK77" i="4"/>
  <c r="AG77" i="4"/>
  <c r="AK76" i="4"/>
  <c r="AG76" i="4"/>
  <c r="AK75" i="4"/>
  <c r="AG75" i="4"/>
  <c r="AK74" i="4"/>
  <c r="AG74" i="4"/>
  <c r="AK73" i="4"/>
  <c r="AG73" i="4"/>
  <c r="AK72" i="4"/>
  <c r="AG72" i="4"/>
  <c r="AK71" i="4"/>
  <c r="AG71" i="4"/>
  <c r="AK70" i="4"/>
  <c r="AG70" i="4"/>
  <c r="AK69" i="4"/>
  <c r="AG69" i="4"/>
  <c r="AK68" i="4"/>
  <c r="AG68" i="4"/>
  <c r="AK67" i="4"/>
  <c r="AG67" i="4"/>
  <c r="AK66" i="4"/>
  <c r="AG66" i="4"/>
  <c r="AK65" i="4"/>
  <c r="AG65" i="4"/>
  <c r="AK64" i="4"/>
  <c r="AG64" i="4"/>
  <c r="AK63" i="4"/>
  <c r="AG63" i="4"/>
  <c r="AK62" i="4"/>
  <c r="AG62" i="4"/>
  <c r="AK61" i="4"/>
  <c r="AG61" i="4"/>
  <c r="AK60" i="4"/>
  <c r="AG60" i="4"/>
  <c r="AK59" i="4"/>
  <c r="AG59" i="4"/>
  <c r="AK58" i="4"/>
  <c r="AG58" i="4"/>
  <c r="AK57" i="4"/>
  <c r="AG57" i="4"/>
  <c r="AK56" i="4"/>
  <c r="AG56" i="4"/>
  <c r="AK55" i="4"/>
  <c r="AG55" i="4"/>
  <c r="AK54" i="4"/>
  <c r="AG54" i="4"/>
  <c r="AK53" i="4"/>
  <c r="AG53" i="4"/>
  <c r="AK52" i="4"/>
  <c r="AG52" i="4"/>
  <c r="AK51" i="4"/>
  <c r="AG51" i="4"/>
  <c r="AK50" i="4"/>
  <c r="AG50" i="4"/>
  <c r="AK49" i="4"/>
  <c r="AG49" i="4"/>
  <c r="AK48" i="4"/>
  <c r="AG48" i="4"/>
  <c r="AK47" i="4"/>
  <c r="AG47" i="4"/>
  <c r="AK46" i="4"/>
  <c r="AG46" i="4"/>
  <c r="AK45" i="4"/>
  <c r="AG45" i="4"/>
  <c r="AK44" i="4"/>
  <c r="AG44" i="4"/>
  <c r="AK43" i="4"/>
  <c r="AG43" i="4"/>
  <c r="AK42" i="4"/>
  <c r="AG42" i="4"/>
  <c r="AK41" i="4"/>
  <c r="AG41" i="4"/>
  <c r="AK40" i="4"/>
  <c r="AG40" i="4"/>
  <c r="AK39" i="4"/>
  <c r="AG39" i="4"/>
  <c r="AK38" i="4"/>
  <c r="AG38" i="4"/>
  <c r="AK37" i="4"/>
  <c r="AG37" i="4"/>
  <c r="AK36" i="4"/>
  <c r="AG36" i="4"/>
  <c r="AK35" i="4"/>
  <c r="AG35" i="4"/>
  <c r="AK34" i="4"/>
  <c r="AG34" i="4"/>
  <c r="AK33" i="4"/>
  <c r="AG33" i="4"/>
  <c r="AK32" i="4"/>
  <c r="AG32" i="4"/>
  <c r="AK31" i="4"/>
  <c r="AG31" i="4"/>
  <c r="AK30" i="4"/>
  <c r="AG30" i="4"/>
  <c r="AK29" i="4"/>
  <c r="AG29" i="4"/>
  <c r="AK28" i="4"/>
  <c r="AG28" i="4"/>
  <c r="AK27" i="4"/>
  <c r="AG27" i="4"/>
  <c r="AK26" i="4"/>
  <c r="AG26" i="4"/>
  <c r="AK25" i="4"/>
  <c r="AG25" i="4"/>
  <c r="AK24" i="4"/>
  <c r="AG24" i="4"/>
  <c r="AK23" i="4"/>
  <c r="AG23" i="4"/>
  <c r="AK22" i="4"/>
  <c r="AG22" i="4"/>
  <c r="AK21" i="4"/>
  <c r="AG21" i="4"/>
  <c r="Q21" i="4"/>
  <c r="AK20" i="4"/>
  <c r="AG20" i="4"/>
  <c r="AK19" i="4"/>
  <c r="AG19" i="4"/>
  <c r="AK18" i="4"/>
  <c r="AG18" i="4"/>
  <c r="AK17" i="4"/>
  <c r="AG17" i="4"/>
  <c r="AK16" i="4"/>
  <c r="AG16" i="4"/>
  <c r="AK15" i="4"/>
  <c r="AG15" i="4"/>
  <c r="AK14" i="4"/>
  <c r="AG14" i="4"/>
  <c r="AK13" i="4"/>
  <c r="AG13" i="4"/>
  <c r="AK12" i="4"/>
  <c r="AG12" i="4"/>
  <c r="G9" i="4"/>
  <c r="H9" i="4" s="1"/>
  <c r="E9" i="4"/>
  <c r="F9" i="4" s="1"/>
  <c r="P89" i="9" l="1"/>
  <c r="AB78" i="10" s="1"/>
  <c r="O90" i="9"/>
  <c r="Q58" i="9"/>
  <c r="U9" i="9" a="1"/>
  <c r="AF81" i="9" s="1"/>
  <c r="Y9" i="9"/>
  <c r="G9" i="16" a="1"/>
  <c r="G9" i="16" s="1"/>
  <c r="P24" i="9"/>
  <c r="BL38" i="15" s="1"/>
  <c r="P19" i="9"/>
  <c r="BL33" i="15" s="1"/>
  <c r="P25" i="9"/>
  <c r="BL39" i="15" s="1"/>
  <c r="AC9" i="16" a="1"/>
  <c r="AC9" i="16" s="1"/>
  <c r="R22" i="16" a="1"/>
  <c r="R22" i="16" s="1"/>
  <c r="P69" i="9"/>
  <c r="AB64" i="10" s="1"/>
  <c r="P64" i="9"/>
  <c r="BL80" i="15" s="1"/>
  <c r="P66" i="9"/>
  <c r="AB61" i="10" s="1"/>
  <c r="O67" i="9"/>
  <c r="P67" i="9"/>
  <c r="BL83" i="15" s="1"/>
  <c r="P71" i="9"/>
  <c r="BL87" i="15" s="1"/>
  <c r="P72" i="9"/>
  <c r="BL88" i="15" s="1"/>
  <c r="O68" i="9"/>
  <c r="G21" i="16" a="1"/>
  <c r="G21" i="16" s="1"/>
  <c r="P68" i="9"/>
  <c r="AB63" i="10" s="1"/>
  <c r="R9" i="16" a="1"/>
  <c r="R9" i="16" s="1"/>
  <c r="P65" i="9"/>
  <c r="AB60" i="10" s="1"/>
  <c r="O69" i="9"/>
  <c r="AC17" i="16" a="1"/>
  <c r="AC17" i="16" s="1"/>
  <c r="Q49" i="9"/>
  <c r="O82" i="9"/>
  <c r="Q91" i="9"/>
  <c r="P82" i="9"/>
  <c r="AB73" i="10" s="1"/>
  <c r="Q45" i="9"/>
  <c r="O83" i="9"/>
  <c r="Q47" i="9"/>
  <c r="P83" i="9"/>
  <c r="BL94" i="15" s="1"/>
  <c r="P53" i="9"/>
  <c r="AB34" i="10" s="1"/>
  <c r="P70" i="9"/>
  <c r="AB65" i="10" s="1"/>
  <c r="P46" i="9"/>
  <c r="AB27" i="10" s="1"/>
  <c r="P50" i="9"/>
  <c r="G45" i="15" s="1"/>
  <c r="K244" i="18"/>
  <c r="P37" i="9"/>
  <c r="G32" i="15" s="1"/>
  <c r="P55" i="9"/>
  <c r="G50" i="15" s="1"/>
  <c r="P41" i="9"/>
  <c r="AA45" i="9" s="1"/>
  <c r="AM60" i="9" a="1"/>
  <c r="AD18" i="16"/>
  <c r="AJ60" i="13" a="1"/>
  <c r="AL61" i="13" s="1"/>
  <c r="AD11" i="16"/>
  <c r="AH11" i="16" s="1"/>
  <c r="AD9" i="16"/>
  <c r="AH9" i="16" s="1"/>
  <c r="AM51" i="9" a="1"/>
  <c r="AO53" i="9" s="1"/>
  <c r="AD10" i="16"/>
  <c r="AH10" i="16" s="1"/>
  <c r="AD12" i="16"/>
  <c r="AH12" i="16" s="1"/>
  <c r="AJ51" i="13" a="1"/>
  <c r="AD13" i="16"/>
  <c r="AH13" i="16" s="1"/>
  <c r="S12" i="16"/>
  <c r="AM30" i="9" a="1"/>
  <c r="AO34" i="9" s="1"/>
  <c r="AJ30" i="13" a="1"/>
  <c r="AL33" i="13" s="1"/>
  <c r="AJ44" i="13" a="1"/>
  <c r="AM44" i="9" a="1"/>
  <c r="S22" i="16"/>
  <c r="AM22" i="9" a="1"/>
  <c r="AM22" i="9" s="1"/>
  <c r="AO22" i="9" s="1"/>
  <c r="H24" i="16"/>
  <c r="AJ22" i="13" a="1"/>
  <c r="AJ22" i="13" s="1"/>
  <c r="AL22" i="13" s="1"/>
  <c r="AJ9" i="13" a="1"/>
  <c r="AL14" i="13" s="1"/>
  <c r="AM9" i="9" a="1"/>
  <c r="AO16" i="9" s="1"/>
  <c r="P90" i="9"/>
  <c r="AB79" i="10" s="1"/>
  <c r="O91" i="9"/>
  <c r="P91" i="9"/>
  <c r="O88" i="9"/>
  <c r="P88" i="9"/>
  <c r="O89" i="9"/>
  <c r="BL45" i="15"/>
  <c r="P87" i="9"/>
  <c r="O87" i="9" s="1"/>
  <c r="O39" i="9"/>
  <c r="P58" i="9"/>
  <c r="G53" i="15" s="1"/>
  <c r="P39" i="9"/>
  <c r="G34" i="15" s="1"/>
  <c r="O42" i="9"/>
  <c r="O47" i="9"/>
  <c r="O49" i="9"/>
  <c r="O52" i="9"/>
  <c r="J14" i="9"/>
  <c r="P42" i="9"/>
  <c r="AB23" i="10" s="1"/>
  <c r="O45" i="9"/>
  <c r="P47" i="9"/>
  <c r="G42" i="15" s="1"/>
  <c r="P49" i="9"/>
  <c r="AA53" i="9" s="1"/>
  <c r="P52" i="9"/>
  <c r="G47" i="15" s="1"/>
  <c r="O54" i="9"/>
  <c r="O56" i="9"/>
  <c r="O59" i="9"/>
  <c r="O58" i="9"/>
  <c r="P14" i="9"/>
  <c r="P45" i="9"/>
  <c r="G40" i="15" s="1"/>
  <c r="O51" i="9"/>
  <c r="P54" i="9"/>
  <c r="G49" i="15" s="1"/>
  <c r="P56" i="9"/>
  <c r="AB37" i="10" s="1"/>
  <c r="P59" i="9"/>
  <c r="G54" i="15" s="1"/>
  <c r="Q24" i="9"/>
  <c r="O24" i="9" s="1"/>
  <c r="Q77" i="9"/>
  <c r="O38" i="9"/>
  <c r="O48" i="9"/>
  <c r="P51" i="9"/>
  <c r="AB32" i="10" s="1"/>
  <c r="O60" i="9"/>
  <c r="Q64" i="9"/>
  <c r="P38" i="9"/>
  <c r="G33" i="15" s="1"/>
  <c r="O40" i="9"/>
  <c r="O44" i="9"/>
  <c r="P48" i="9"/>
  <c r="AB29" i="10" s="1"/>
  <c r="O57" i="9"/>
  <c r="P60" i="9"/>
  <c r="AB41" i="10" s="1"/>
  <c r="K239" i="18"/>
  <c r="O37" i="9"/>
  <c r="P40" i="9"/>
  <c r="AB21" i="10" s="1"/>
  <c r="O41" i="9"/>
  <c r="P44" i="9"/>
  <c r="G39" i="15" s="1"/>
  <c r="O46" i="9"/>
  <c r="O50" i="9"/>
  <c r="O53" i="9"/>
  <c r="O55" i="9"/>
  <c r="P57" i="9"/>
  <c r="AA61" i="9" s="1"/>
  <c r="K235" i="18"/>
  <c r="P81" i="9"/>
  <c r="BL92" i="15" s="1"/>
  <c r="O81" i="9"/>
  <c r="BL85" i="15"/>
  <c r="K223" i="18"/>
  <c r="BL26" i="15"/>
  <c r="AB69" i="10"/>
  <c r="BL27" i="15"/>
  <c r="Q63" i="9"/>
  <c r="O63" i="9" s="1"/>
  <c r="BL79" i="15"/>
  <c r="M14" i="9"/>
  <c r="P31" i="9"/>
  <c r="BL21" i="15" s="1"/>
  <c r="Q38" i="9"/>
  <c r="Q44" i="9"/>
  <c r="Q53" i="9"/>
  <c r="Q56" i="9"/>
  <c r="Q37" i="9"/>
  <c r="Q42" i="9"/>
  <c r="Q48" i="9"/>
  <c r="F22" i="16"/>
  <c r="P32" i="9"/>
  <c r="AB56" i="10" s="1"/>
  <c r="Q46" i="9"/>
  <c r="Q52" i="9"/>
  <c r="Q59" i="9"/>
  <c r="P30" i="9"/>
  <c r="BL20" i="15" s="1"/>
  <c r="Q40" i="9"/>
  <c r="P43" i="9"/>
  <c r="G38" i="15" s="1"/>
  <c r="Q51" i="9"/>
  <c r="Q55" i="9"/>
  <c r="Q43" i="9"/>
  <c r="Q57" i="9"/>
  <c r="N11" i="8"/>
  <c r="Q39" i="9"/>
  <c r="Q41" i="9"/>
  <c r="Q50" i="9"/>
  <c r="Q54" i="9"/>
  <c r="Q60" i="9"/>
  <c r="AA62" i="9"/>
  <c r="G43" i="15"/>
  <c r="Q31" i="9"/>
  <c r="Q15" i="16"/>
  <c r="K179" i="18"/>
  <c r="Q13" i="16"/>
  <c r="P36" i="9"/>
  <c r="AB17" i="10" s="1"/>
  <c r="O36" i="9"/>
  <c r="G37" i="15"/>
  <c r="AB39" i="10"/>
  <c r="BL19" i="15"/>
  <c r="AP12" i="8"/>
  <c r="F23" i="16"/>
  <c r="AP17" i="8"/>
  <c r="R14" i="9"/>
  <c r="N9" i="4"/>
  <c r="O9" i="4" s="1"/>
  <c r="AP11" i="8"/>
  <c r="N9" i="8"/>
  <c r="P17" i="9"/>
  <c r="AB43" i="10" s="1"/>
  <c r="O17" i="9"/>
  <c r="BL35" i="15"/>
  <c r="AB44" i="10"/>
  <c r="BL34" i="15"/>
  <c r="AB45" i="10"/>
  <c r="BL37" i="15"/>
  <c r="AB48" i="10"/>
  <c r="F68" i="9"/>
  <c r="E13" i="5"/>
  <c r="F72" i="9"/>
  <c r="E16" i="5"/>
  <c r="H16" i="5"/>
  <c r="F66" i="9"/>
  <c r="G66" i="9" s="1"/>
  <c r="H19" i="5"/>
  <c r="Q24" i="16"/>
  <c r="V24" i="16" s="1"/>
  <c r="T22" i="16"/>
  <c r="U22" i="16" s="1"/>
  <c r="S23" i="16" s="1"/>
  <c r="J12" i="5"/>
  <c r="I12" i="5" s="1"/>
  <c r="V22" i="16"/>
  <c r="F77" i="9"/>
  <c r="AK21" i="8"/>
  <c r="AB70" i="11" s="1"/>
  <c r="P16" i="5"/>
  <c r="AL26" i="8"/>
  <c r="P19" i="5"/>
  <c r="T12" i="12"/>
  <c r="S12" i="12" s="1"/>
  <c r="G14" i="9"/>
  <c r="AG11" i="16"/>
  <c r="Q18" i="16"/>
  <c r="N157" i="18"/>
  <c r="Q12" i="5"/>
  <c r="O10" i="5"/>
  <c r="AD12" i="5" s="1"/>
  <c r="AF12" i="5" s="1"/>
  <c r="Q10" i="16"/>
  <c r="Q12" i="16"/>
  <c r="Q16" i="16"/>
  <c r="Q11" i="16"/>
  <c r="Q14" i="16"/>
  <c r="AL33" i="8"/>
  <c r="AG12" i="16"/>
  <c r="AP16" i="8"/>
  <c r="Z11" i="8"/>
  <c r="AB20" i="11" s="1"/>
  <c r="AT16" i="8"/>
  <c r="Q88" i="9"/>
  <c r="I13" i="4"/>
  <c r="AP9" i="8"/>
  <c r="AP13" i="8"/>
  <c r="F11" i="16"/>
  <c r="AG13" i="16"/>
  <c r="AP14" i="8"/>
  <c r="L6" i="16"/>
  <c r="M17" i="5" s="1"/>
  <c r="Q90" i="9"/>
  <c r="AL10" i="8"/>
  <c r="AP10" i="8"/>
  <c r="AP15" i="8"/>
  <c r="AT12" i="8"/>
  <c r="AT11" i="8"/>
  <c r="AL14" i="8"/>
  <c r="AR16" i="8"/>
  <c r="AK26" i="8"/>
  <c r="AB74" i="11" s="1"/>
  <c r="AK33" i="8"/>
  <c r="AB80" i="11" s="1"/>
  <c r="F12" i="16"/>
  <c r="F13" i="16"/>
  <c r="F14" i="16"/>
  <c r="F16" i="16"/>
  <c r="F83" i="9"/>
  <c r="G83" i="9" s="1"/>
  <c r="H110" i="18"/>
  <c r="G110" i="18" s="1"/>
  <c r="AR10" i="8"/>
  <c r="AR12" i="8"/>
  <c r="F91" i="9"/>
  <c r="G91" i="9" s="1"/>
  <c r="F89" i="9"/>
  <c r="G89" i="9" s="1"/>
  <c r="L110" i="18"/>
  <c r="K110" i="18" s="1"/>
  <c r="AK30" i="8"/>
  <c r="AB77" i="11" s="1"/>
  <c r="AT17" i="8"/>
  <c r="AL31" i="8"/>
  <c r="F15" i="16"/>
  <c r="F17" i="16"/>
  <c r="F82" i="9"/>
  <c r="G82" i="9" s="1"/>
  <c r="J110" i="18"/>
  <c r="I110" i="18" s="1"/>
  <c r="AT10" i="8"/>
  <c r="AR17" i="8"/>
  <c r="AK31" i="8"/>
  <c r="AB78" i="11" s="1"/>
  <c r="AR15" i="8"/>
  <c r="AA32" i="8"/>
  <c r="AT14" i="8"/>
  <c r="AR9" i="8"/>
  <c r="AR13" i="8"/>
  <c r="AT15" i="8"/>
  <c r="AK25" i="8"/>
  <c r="AB73" i="11" s="1"/>
  <c r="AK32" i="8"/>
  <c r="AB79" i="11" s="1"/>
  <c r="F90" i="9"/>
  <c r="AR14" i="8"/>
  <c r="AT9" i="8"/>
  <c r="AR11" i="8"/>
  <c r="AT13" i="8"/>
  <c r="AL25" i="8"/>
  <c r="AL32" i="8"/>
  <c r="F88" i="9"/>
  <c r="AG10" i="16"/>
  <c r="T23" i="16"/>
  <c r="U23" i="16" s="1"/>
  <c r="F22" i="9"/>
  <c r="E130" i="18" a="1"/>
  <c r="E130" i="18" s="1"/>
  <c r="AL30" i="8"/>
  <c r="H14" i="4"/>
  <c r="AH9" i="5" s="1"/>
  <c r="AJ9" i="5" s="1"/>
  <c r="AL9" i="8"/>
  <c r="M14" i="4"/>
  <c r="Z23" i="4" s="1"/>
  <c r="Q81" i="9"/>
  <c r="P13" i="4"/>
  <c r="P11" i="4"/>
  <c r="I11" i="4"/>
  <c r="F14" i="4"/>
  <c r="AD13" i="5" s="1"/>
  <c r="AF13" i="5" s="1"/>
  <c r="AN19" i="8"/>
  <c r="AT8" i="8"/>
  <c r="AR8" i="8"/>
  <c r="AP8" i="8"/>
  <c r="AK53" i="13"/>
  <c r="AN51" i="9" a="1"/>
  <c r="AF14" i="16"/>
  <c r="AK51" i="13"/>
  <c r="AK52" i="13"/>
  <c r="Q87" i="9"/>
  <c r="Q89" i="9"/>
  <c r="AK55" i="13"/>
  <c r="AK54" i="13"/>
  <c r="AL29" i="8"/>
  <c r="AK29" i="8"/>
  <c r="AB76" i="11" s="1"/>
  <c r="F87" i="9"/>
  <c r="F40" i="9"/>
  <c r="Z14" i="8"/>
  <c r="AB23" i="11" s="1"/>
  <c r="Z26" i="8"/>
  <c r="AB35" i="11" s="1"/>
  <c r="F58" i="9"/>
  <c r="AA23" i="8"/>
  <c r="F55" i="9"/>
  <c r="F56" i="9"/>
  <c r="Q82" i="9"/>
  <c r="AL24" i="8"/>
  <c r="AK24" i="8"/>
  <c r="F81" i="9"/>
  <c r="Z23" i="8"/>
  <c r="AB32" i="11" s="1"/>
  <c r="AA29" i="8"/>
  <c r="AA25" i="8"/>
  <c r="Z16" i="8"/>
  <c r="AB25" i="11" s="1"/>
  <c r="Z18" i="8"/>
  <c r="AB27" i="11" s="1"/>
  <c r="O31" i="8"/>
  <c r="AB56" i="11" s="1"/>
  <c r="F39" i="9"/>
  <c r="F44" i="9"/>
  <c r="F50" i="9"/>
  <c r="F51" i="9"/>
  <c r="P29" i="8"/>
  <c r="Z10" i="8"/>
  <c r="AB19" i="11" s="1"/>
  <c r="F32" i="9"/>
  <c r="G32" i="9" s="1"/>
  <c r="F43" i="9"/>
  <c r="F47" i="9"/>
  <c r="F48" i="9"/>
  <c r="F49" i="9"/>
  <c r="AK11" i="8"/>
  <c r="AB61" i="11" s="1"/>
  <c r="Z19" i="8"/>
  <c r="AB28" i="11" s="1"/>
  <c r="Z20" i="8"/>
  <c r="AB29" i="11" s="1"/>
  <c r="AA31" i="8"/>
  <c r="Z13" i="8"/>
  <c r="AB22" i="11" s="1"/>
  <c r="Z21" i="8"/>
  <c r="AB30" i="11" s="1"/>
  <c r="O30" i="8"/>
  <c r="AB55" i="11" s="1"/>
  <c r="F37" i="9"/>
  <c r="F38" i="9"/>
  <c r="F46" i="9"/>
  <c r="F57" i="9"/>
  <c r="Z25" i="8"/>
  <c r="AB34" i="11" s="1"/>
  <c r="Z27" i="8"/>
  <c r="AB36" i="11" s="1"/>
  <c r="P30" i="8"/>
  <c r="F41" i="9"/>
  <c r="F42" i="9"/>
  <c r="F45" i="9"/>
  <c r="F52" i="9"/>
  <c r="G52" i="9" s="1"/>
  <c r="F59" i="9"/>
  <c r="AK13" i="8"/>
  <c r="AB63" i="11" s="1"/>
  <c r="Z9" i="8"/>
  <c r="AB18" i="11" s="1"/>
  <c r="Z12" i="8"/>
  <c r="Z15" i="8"/>
  <c r="AB24" i="11" s="1"/>
  <c r="Z17" i="8"/>
  <c r="AL21" i="8"/>
  <c r="Z28" i="8"/>
  <c r="AA30" i="8"/>
  <c r="AK12" i="8"/>
  <c r="AB62" i="11" s="1"/>
  <c r="Z22" i="8"/>
  <c r="AB31" i="11" s="1"/>
  <c r="O29" i="8"/>
  <c r="AB54" i="11" s="1"/>
  <c r="F30" i="9"/>
  <c r="G30" i="9" s="1"/>
  <c r="F31" i="9"/>
  <c r="F53" i="9"/>
  <c r="F54" i="9"/>
  <c r="F76" i="9"/>
  <c r="AL20" i="8"/>
  <c r="AK20" i="8"/>
  <c r="AB69" i="11" s="1"/>
  <c r="Q76" i="9"/>
  <c r="AL11" i="8"/>
  <c r="AL12" i="8"/>
  <c r="AL13" i="8"/>
  <c r="AA27" i="8"/>
  <c r="AA18" i="8"/>
  <c r="AA21" i="8"/>
  <c r="AA24" i="8"/>
  <c r="F67" i="9"/>
  <c r="AA17" i="8"/>
  <c r="AA28" i="8"/>
  <c r="L35" i="9"/>
  <c r="K196" i="18" s="1"/>
  <c r="P9" i="8"/>
  <c r="P10" i="8"/>
  <c r="AA16" i="8"/>
  <c r="AK17" i="8"/>
  <c r="AB67" i="11" s="1"/>
  <c r="AA19" i="8"/>
  <c r="AA26" i="8"/>
  <c r="F65" i="9"/>
  <c r="G65" i="9" s="1"/>
  <c r="F70" i="9"/>
  <c r="G70" i="9" s="1"/>
  <c r="F64" i="9"/>
  <c r="P11" i="8"/>
  <c r="AA15" i="8"/>
  <c r="AK16" i="8"/>
  <c r="AB66" i="11" s="1"/>
  <c r="AL17" i="8"/>
  <c r="AA20" i="8"/>
  <c r="AA9" i="8"/>
  <c r="AA10" i="8"/>
  <c r="AA14" i="8"/>
  <c r="AK15" i="8"/>
  <c r="AB65" i="11" s="1"/>
  <c r="AL16" i="8"/>
  <c r="F69" i="9"/>
  <c r="F71" i="9"/>
  <c r="P12" i="8"/>
  <c r="AK9" i="8"/>
  <c r="AB59" i="11" s="1"/>
  <c r="AK10" i="8"/>
  <c r="AB60" i="11" s="1"/>
  <c r="AA11" i="8"/>
  <c r="AA12" i="8"/>
  <c r="AA13" i="8"/>
  <c r="AK14" i="8"/>
  <c r="AL15" i="8"/>
  <c r="AA22" i="8"/>
  <c r="F63" i="9"/>
  <c r="AL8" i="8"/>
  <c r="AK8" i="8"/>
  <c r="AB58" i="11" s="1"/>
  <c r="Q66" i="9"/>
  <c r="Q72" i="9"/>
  <c r="Q65" i="9"/>
  <c r="O65" i="9" s="1"/>
  <c r="Q71" i="9"/>
  <c r="Q67" i="9"/>
  <c r="Q68" i="9"/>
  <c r="Q69" i="9"/>
  <c r="Q70" i="9"/>
  <c r="F19" i="9"/>
  <c r="G19" i="9" s="1"/>
  <c r="F23" i="9"/>
  <c r="O20" i="8"/>
  <c r="AB47" i="11" s="1"/>
  <c r="Z24" i="8"/>
  <c r="AB33" i="11" s="1"/>
  <c r="Z32" i="8"/>
  <c r="AB41" i="11" s="1"/>
  <c r="F20" i="9"/>
  <c r="P31" i="8"/>
  <c r="F25" i="9"/>
  <c r="O22" i="8"/>
  <c r="AB49" i="11" s="1"/>
  <c r="Z31" i="8"/>
  <c r="AB40" i="11" s="1"/>
  <c r="F18" i="9"/>
  <c r="F21" i="9"/>
  <c r="L28" i="9"/>
  <c r="O17" i="8"/>
  <c r="Z30" i="8"/>
  <c r="F24" i="9"/>
  <c r="G24" i="9" s="1"/>
  <c r="Z29" i="8"/>
  <c r="AB38" i="11" s="1"/>
  <c r="AA8" i="8"/>
  <c r="Z8" i="8"/>
  <c r="AB17" i="11" s="1"/>
  <c r="F36" i="9"/>
  <c r="O10" i="8"/>
  <c r="AE13" i="11" s="1"/>
  <c r="O21" i="8"/>
  <c r="AB48" i="11" s="1"/>
  <c r="O18" i="8"/>
  <c r="AB45" i="11" s="1"/>
  <c r="P21" i="8"/>
  <c r="O24" i="8"/>
  <c r="AB51" i="11" s="1"/>
  <c r="O23" i="8"/>
  <c r="AB50" i="11" s="1"/>
  <c r="P23" i="8"/>
  <c r="F12" i="9"/>
  <c r="Q12" i="9" s="1"/>
  <c r="O11" i="8"/>
  <c r="AE14" i="11" s="1"/>
  <c r="O19" i="8"/>
  <c r="AB46" i="11" s="1"/>
  <c r="N10" i="8"/>
  <c r="N12" i="8"/>
  <c r="P19" i="8"/>
  <c r="F11" i="9"/>
  <c r="O9" i="8"/>
  <c r="V12" i="11" s="1"/>
  <c r="O12" i="8"/>
  <c r="X15" i="11" s="1"/>
  <c r="F13" i="9"/>
  <c r="F10" i="9"/>
  <c r="P10" i="9" s="1"/>
  <c r="W35" i="9" s="1"/>
  <c r="P28" i="8"/>
  <c r="F29" i="9"/>
  <c r="O28" i="8"/>
  <c r="AB53" i="11" s="1"/>
  <c r="H13" i="8"/>
  <c r="K13" i="8"/>
  <c r="P17" i="8"/>
  <c r="P13" i="8"/>
  <c r="P18" i="8"/>
  <c r="P20" i="8"/>
  <c r="P22" i="8"/>
  <c r="P24" i="8"/>
  <c r="Q25" i="9"/>
  <c r="Q20" i="9"/>
  <c r="O20" i="9" s="1"/>
  <c r="Q22" i="9"/>
  <c r="Q17" i="9"/>
  <c r="Q18" i="9"/>
  <c r="Q19" i="9"/>
  <c r="O19" i="9" s="1"/>
  <c r="Q21" i="9"/>
  <c r="O21" i="9" s="1"/>
  <c r="Q23" i="9"/>
  <c r="O23" i="9" s="1"/>
  <c r="F17" i="9"/>
  <c r="P16" i="8"/>
  <c r="O16" i="8"/>
  <c r="AB43" i="11" s="1"/>
  <c r="P8" i="8"/>
  <c r="F9" i="9"/>
  <c r="O8" i="8"/>
  <c r="N8" i="8"/>
  <c r="BL68" i="15"/>
  <c r="CM61" i="15"/>
  <c r="CA61" i="15"/>
  <c r="BL56" i="15"/>
  <c r="CM49" i="15"/>
  <c r="CA49" i="15"/>
  <c r="BL61" i="15"/>
  <c r="CM54" i="15"/>
  <c r="CA54" i="15"/>
  <c r="BL72" i="15"/>
  <c r="CA65" i="15"/>
  <c r="CM65" i="15"/>
  <c r="T64" i="15"/>
  <c r="Z51" i="15"/>
  <c r="BL69" i="15"/>
  <c r="CA62" i="15"/>
  <c r="CM62" i="15"/>
  <c r="BL74" i="15"/>
  <c r="CM67" i="15"/>
  <c r="CA67" i="15"/>
  <c r="T55" i="15"/>
  <c r="Z42" i="15"/>
  <c r="Z33" i="15"/>
  <c r="Z52" i="15"/>
  <c r="AR117" i="15"/>
  <c r="Z44" i="15"/>
  <c r="T62" i="15"/>
  <c r="CA60" i="15"/>
  <c r="O68" i="15"/>
  <c r="S63" i="15"/>
  <c r="Q62" i="15"/>
  <c r="O61" i="15"/>
  <c r="O58" i="15"/>
  <c r="O57" i="15"/>
  <c r="Q55" i="15"/>
  <c r="S64" i="15"/>
  <c r="Q63" i="15"/>
  <c r="O62" i="15"/>
  <c r="O55" i="15"/>
  <c r="S52" i="15"/>
  <c r="S51" i="15"/>
  <c r="S49" i="15"/>
  <c r="Q64" i="15"/>
  <c r="O63" i="15"/>
  <c r="Q52" i="15"/>
  <c r="Q51" i="15"/>
  <c r="Q49" i="15"/>
  <c r="M44" i="15"/>
  <c r="S65" i="15"/>
  <c r="O64" i="15"/>
  <c r="S59" i="15"/>
  <c r="O52" i="15"/>
  <c r="O51" i="15"/>
  <c r="O49" i="15"/>
  <c r="S66" i="15"/>
  <c r="Q65" i="15"/>
  <c r="S60" i="15"/>
  <c r="Q59" i="15"/>
  <c r="S56" i="15"/>
  <c r="S53" i="15"/>
  <c r="S47" i="15"/>
  <c r="S46" i="15"/>
  <c r="S45" i="15"/>
  <c r="S67" i="15"/>
  <c r="Q66" i="15"/>
  <c r="O65" i="15"/>
  <c r="Q60" i="15"/>
  <c r="O59" i="15"/>
  <c r="Q56" i="15"/>
  <c r="S54" i="15"/>
  <c r="Q53" i="15"/>
  <c r="S50" i="15"/>
  <c r="S48" i="15"/>
  <c r="Q47" i="15"/>
  <c r="Q46" i="15"/>
  <c r="Q45" i="15"/>
  <c r="Q68" i="15"/>
  <c r="O67" i="15"/>
  <c r="S62" i="15"/>
  <c r="S57" i="15"/>
  <c r="Q50" i="15"/>
  <c r="Q57" i="15"/>
  <c r="Q54" i="15"/>
  <c r="O50" i="15"/>
  <c r="Q48" i="15"/>
  <c r="O45" i="15"/>
  <c r="O46" i="15"/>
  <c r="S58" i="15"/>
  <c r="O54" i="15"/>
  <c r="O48" i="15"/>
  <c r="Q58" i="15"/>
  <c r="O53" i="15"/>
  <c r="O47" i="15"/>
  <c r="O66" i="15"/>
  <c r="O56" i="15"/>
  <c r="S55" i="15"/>
  <c r="O60" i="15"/>
  <c r="S61" i="15"/>
  <c r="S68" i="15"/>
  <c r="Q67" i="15"/>
  <c r="Q61" i="15"/>
  <c r="BL71" i="15"/>
  <c r="CA64" i="15"/>
  <c r="CM64" i="15"/>
  <c r="BF44" i="15"/>
  <c r="AS31" i="15"/>
  <c r="T50" i="15"/>
  <c r="Z37" i="15"/>
  <c r="T48" i="15"/>
  <c r="Z35" i="15"/>
  <c r="T45" i="15"/>
  <c r="Z32" i="15"/>
  <c r="T47" i="15"/>
  <c r="Z34" i="15"/>
  <c r="T54" i="15"/>
  <c r="Z41" i="15"/>
  <c r="AK38" i="15" a="1"/>
  <c r="AS44" i="15"/>
  <c r="BF57" i="15"/>
  <c r="T59" i="15"/>
  <c r="Z46" i="15"/>
  <c r="BL53" i="15"/>
  <c r="CM46" i="15"/>
  <c r="T68" i="15"/>
  <c r="Z55" i="15"/>
  <c r="J31" i="15"/>
  <c r="Z36" i="15"/>
  <c r="BT44" i="15" a="1"/>
  <c r="BO54" i="15"/>
  <c r="CF44" i="15" a="1"/>
  <c r="BL70" i="15"/>
  <c r="CA63" i="15"/>
  <c r="CM63" i="15"/>
  <c r="BL75" i="15"/>
  <c r="CM68" i="15"/>
  <c r="BL62" i="15"/>
  <c r="CA55" i="15"/>
  <c r="Y31" i="15" a="1"/>
  <c r="Z47" i="15"/>
  <c r="T60" i="15"/>
  <c r="Z53" i="15"/>
  <c r="T66" i="15"/>
  <c r="BL60" i="15"/>
  <c r="CM53" i="15"/>
  <c r="BL64" i="15"/>
  <c r="CM57" i="15"/>
  <c r="CA57" i="15"/>
  <c r="Z48" i="15"/>
  <c r="T61" i="15"/>
  <c r="Z54" i="15"/>
  <c r="T67" i="15"/>
  <c r="BL66" i="15"/>
  <c r="CA59" i="15"/>
  <c r="T53" i="15"/>
  <c r="Z40" i="15"/>
  <c r="Z45" i="15"/>
  <c r="T58" i="15"/>
  <c r="BL51" i="15"/>
  <c r="CM44" i="15"/>
  <c r="T63" i="15"/>
  <c r="BL73" i="15"/>
  <c r="CM66" i="15"/>
  <c r="CA66" i="15"/>
  <c r="Z39" i="15"/>
  <c r="Z43" i="15"/>
  <c r="BL52" i="15"/>
  <c r="CM45" i="15"/>
  <c r="BL55" i="15"/>
  <c r="CA48" i="15"/>
  <c r="BL58" i="15"/>
  <c r="CA51" i="15"/>
  <c r="T51" i="15"/>
  <c r="Z38" i="15"/>
  <c r="BL59" i="15"/>
  <c r="CM52" i="15"/>
  <c r="BL63" i="15"/>
  <c r="CM56" i="15"/>
  <c r="CA56" i="15"/>
  <c r="BL65" i="15"/>
  <c r="CM58" i="15"/>
  <c r="AC117" i="15"/>
  <c r="AT117" i="15"/>
  <c r="CQ125" i="15"/>
  <c r="F117" i="15"/>
  <c r="CS125" i="15"/>
  <c r="H117" i="15"/>
  <c r="Y117" i="15"/>
  <c r="BF65" i="15"/>
  <c r="AS52" i="15"/>
  <c r="AS42" i="15"/>
  <c r="BF55" i="15"/>
  <c r="AS46" i="15"/>
  <c r="BF59" i="15"/>
  <c r="AS36" i="15"/>
  <c r="BF49" i="15"/>
  <c r="BF53" i="15"/>
  <c r="AS40" i="15"/>
  <c r="BF68" i="15"/>
  <c r="AS55" i="15"/>
  <c r="AS34" i="15"/>
  <c r="BF47" i="15"/>
  <c r="BF51" i="15"/>
  <c r="AS38" i="15"/>
  <c r="BF61" i="15"/>
  <c r="AS48" i="15"/>
  <c r="BF63" i="15"/>
  <c r="AS50" i="15"/>
  <c r="AS53" i="15"/>
  <c r="BF45" i="15"/>
  <c r="AS37" i="15"/>
  <c r="BF50" i="15"/>
  <c r="BF48" i="15"/>
  <c r="AS33" i="15"/>
  <c r="BF46" i="15"/>
  <c r="BF52" i="15"/>
  <c r="BF54" i="15"/>
  <c r="AY44" i="15" a="1"/>
  <c r="BF56" i="15"/>
  <c r="BF58" i="15"/>
  <c r="BF60" i="15"/>
  <c r="BF64" i="15"/>
  <c r="BF62" i="15"/>
  <c r="AM52" i="15"/>
  <c r="AF44" i="15" a="1"/>
  <c r="AM64" i="15"/>
  <c r="AM56" i="15"/>
  <c r="BF67" i="15"/>
  <c r="AC16" i="9" l="1"/>
  <c r="O64" i="9"/>
  <c r="AC18" i="9"/>
  <c r="O66" i="9"/>
  <c r="AB66" i="10"/>
  <c r="AF83" i="9"/>
  <c r="U9" i="9"/>
  <c r="AG36" i="9" s="1" a="1"/>
  <c r="AG36" i="9" s="1"/>
  <c r="O71" i="9"/>
  <c r="N224" i="18" s="1" a="1"/>
  <c r="N224" i="18" s="1"/>
  <c r="AB51" i="10"/>
  <c r="O25" i="9"/>
  <c r="BL82" i="15"/>
  <c r="BL46" i="15"/>
  <c r="AB50" i="10"/>
  <c r="AD10" i="9" a="1"/>
  <c r="AD10" i="9" s="1"/>
  <c r="AG23" i="9" a="1"/>
  <c r="AG23" i="9" s="1"/>
  <c r="R11" i="9"/>
  <c r="AF82" i="9" s="1"/>
  <c r="O72" i="9"/>
  <c r="G48" i="15"/>
  <c r="AB20" i="10"/>
  <c r="BL84" i="15"/>
  <c r="AA57" i="9"/>
  <c r="AB67" i="10"/>
  <c r="AA43" i="9"/>
  <c r="AB59" i="10"/>
  <c r="AB31" i="10"/>
  <c r="BL93" i="15"/>
  <c r="AA54" i="9"/>
  <c r="AB62" i="10"/>
  <c r="BL81" i="15"/>
  <c r="AA41" i="9"/>
  <c r="AA52" i="9"/>
  <c r="AB18" i="10"/>
  <c r="BL86" i="15"/>
  <c r="O70" i="9"/>
  <c r="AA50" i="9"/>
  <c r="G41" i="15"/>
  <c r="AA55" i="9"/>
  <c r="AL34" i="13"/>
  <c r="AL39" i="13"/>
  <c r="G44" i="15"/>
  <c r="AL38" i="13"/>
  <c r="AL37" i="13"/>
  <c r="AJ30" i="13"/>
  <c r="AL30" i="13" s="1"/>
  <c r="AL36" i="13"/>
  <c r="AL35" i="13"/>
  <c r="AO38" i="9"/>
  <c r="AA64" i="9"/>
  <c r="AB22" i="10"/>
  <c r="J130" i="18" a="1"/>
  <c r="J130" i="18" s="1"/>
  <c r="G55" i="15"/>
  <c r="G36" i="15"/>
  <c r="AB30" i="10"/>
  <c r="AO32" i="9"/>
  <c r="G46" i="15"/>
  <c r="AA48" i="9"/>
  <c r="AA51" i="9"/>
  <c r="AB25" i="10"/>
  <c r="AA59" i="9"/>
  <c r="AA58" i="9"/>
  <c r="AB35" i="10"/>
  <c r="AB74" i="10"/>
  <c r="K266" i="18" a="1"/>
  <c r="K266" i="18" s="1"/>
  <c r="AA47" i="9"/>
  <c r="AA60" i="9"/>
  <c r="AB28" i="10"/>
  <c r="AO37" i="9"/>
  <c r="AB36" i="10"/>
  <c r="AA56" i="9"/>
  <c r="AB24" i="10"/>
  <c r="AB33" i="10"/>
  <c r="G52" i="15"/>
  <c r="AO35" i="9"/>
  <c r="F245" i="18" a="1"/>
  <c r="F245" i="18" s="1"/>
  <c r="G51" i="15"/>
  <c r="AO31" i="9"/>
  <c r="Y11" i="8"/>
  <c r="O43" i="9"/>
  <c r="N197" i="18" s="1" a="1"/>
  <c r="N197" i="18" s="1"/>
  <c r="AO33" i="9"/>
  <c r="AO36" i="9"/>
  <c r="O255" i="18" a="1"/>
  <c r="O255" i="18" s="1"/>
  <c r="AB26" i="10"/>
  <c r="AM30" i="9"/>
  <c r="AO30" i="9" s="1"/>
  <c r="AJ60" i="13"/>
  <c r="AL60" i="13" s="1"/>
  <c r="AM60" i="9"/>
  <c r="AO60" i="9" s="1"/>
  <c r="AO61" i="9"/>
  <c r="AL54" i="13"/>
  <c r="AM54" i="13" s="1"/>
  <c r="AL55" i="13"/>
  <c r="AM55" i="13" s="1"/>
  <c r="AJ51" i="13"/>
  <c r="AL51" i="13" s="1"/>
  <c r="AM51" i="13" s="1"/>
  <c r="AL53" i="13"/>
  <c r="AM53" i="13" s="1"/>
  <c r="AM51" i="9"/>
  <c r="AO51" i="9" s="1"/>
  <c r="AO55" i="9"/>
  <c r="AP55" i="9" s="1"/>
  <c r="AO54" i="9"/>
  <c r="AP54" i="9" s="1"/>
  <c r="AO52" i="9"/>
  <c r="AP52" i="9" s="1"/>
  <c r="AL52" i="13"/>
  <c r="AM52" i="13" s="1"/>
  <c r="AO39" i="9"/>
  <c r="AL32" i="13"/>
  <c r="AL31" i="13"/>
  <c r="AL23" i="13"/>
  <c r="AO23" i="9"/>
  <c r="AL25" i="13"/>
  <c r="AL24" i="13"/>
  <c r="AL10" i="13"/>
  <c r="AO11" i="9"/>
  <c r="AL11" i="13"/>
  <c r="AL17" i="13"/>
  <c r="AJ9" i="13"/>
  <c r="AL9" i="13" s="1"/>
  <c r="AL15" i="13"/>
  <c r="AL12" i="13"/>
  <c r="AL13" i="13"/>
  <c r="AL16" i="13"/>
  <c r="W23" i="16"/>
  <c r="AO46" i="9"/>
  <c r="AO45" i="9"/>
  <c r="AM44" i="9"/>
  <c r="AO44" i="9" s="1"/>
  <c r="AL46" i="13"/>
  <c r="AL45" i="13"/>
  <c r="AJ44" i="13"/>
  <c r="AL44" i="13" s="1"/>
  <c r="S24" i="16"/>
  <c r="AO24" i="9"/>
  <c r="AO25" i="9"/>
  <c r="AO15" i="9"/>
  <c r="AO10" i="9"/>
  <c r="AO17" i="9"/>
  <c r="AO12" i="9"/>
  <c r="AO14" i="9"/>
  <c r="AM9" i="9"/>
  <c r="AO9" i="9" s="1"/>
  <c r="AO13" i="9"/>
  <c r="BL44" i="15"/>
  <c r="AB77" i="10"/>
  <c r="AB80" i="10"/>
  <c r="BL47" i="15"/>
  <c r="N245" i="18" a="1"/>
  <c r="N245" i="18" s="1"/>
  <c r="U76" i="10" a="1"/>
  <c r="Y78" i="10" s="1"/>
  <c r="AJ9" i="16" a="1"/>
  <c r="AK13" i="16" s="1"/>
  <c r="T99" i="9" a="1"/>
  <c r="Z103" i="9" s="1"/>
  <c r="BL43" i="15"/>
  <c r="AB76" i="10"/>
  <c r="AA46" i="9"/>
  <c r="AB19" i="10"/>
  <c r="AA42" i="9"/>
  <c r="G35" i="15"/>
  <c r="AB38" i="10"/>
  <c r="N31" i="8"/>
  <c r="U72" i="10" a="1"/>
  <c r="Y73" i="10" s="1"/>
  <c r="N240" i="18" a="1"/>
  <c r="N240" i="18" s="1"/>
  <c r="AA44" i="9"/>
  <c r="AA49" i="9"/>
  <c r="AA63" i="9"/>
  <c r="AB40" i="10"/>
  <c r="Y22" i="16" a="1"/>
  <c r="Z24" i="16" s="1"/>
  <c r="T95" i="9" a="1"/>
  <c r="T95" i="9" s="1"/>
  <c r="AB72" i="10"/>
  <c r="G58" i="9"/>
  <c r="AJ21" i="8"/>
  <c r="O14" i="4"/>
  <c r="X11" i="4" s="1"/>
  <c r="Z11" i="4" s="1"/>
  <c r="G81" i="9"/>
  <c r="G240" i="18" s="1" a="1"/>
  <c r="G240" i="18" s="1"/>
  <c r="F240" i="18" a="1"/>
  <c r="F240" i="18" s="1"/>
  <c r="G76" i="9"/>
  <c r="F236" i="18" a="1"/>
  <c r="F236" i="18" s="1"/>
  <c r="R13" i="9"/>
  <c r="AF84" i="9" s="1"/>
  <c r="F224" i="18" a="1"/>
  <c r="F224" i="18" s="1"/>
  <c r="AJ14" i="8"/>
  <c r="BL22" i="15"/>
  <c r="F191" i="18" a="1"/>
  <c r="F191" i="18" s="1"/>
  <c r="AB55" i="10"/>
  <c r="O31" i="9"/>
  <c r="AB54" i="10"/>
  <c r="G31" i="15"/>
  <c r="BL31" i="15"/>
  <c r="AA40" i="9"/>
  <c r="I21" i="5"/>
  <c r="I22" i="5" s="1"/>
  <c r="I13" i="5" s="1"/>
  <c r="F161" i="18" s="1"/>
  <c r="Q30" i="9"/>
  <c r="O30" i="9" s="1"/>
  <c r="K190" i="18"/>
  <c r="AB17" i="14" a="1"/>
  <c r="AB17" i="14" s="1"/>
  <c r="F197" i="18" a="1"/>
  <c r="F197" i="18" s="1"/>
  <c r="F180" i="18" a="1"/>
  <c r="F180" i="18" s="1"/>
  <c r="G77" i="9"/>
  <c r="AJ26" i="8"/>
  <c r="N180" i="18" a="1"/>
  <c r="N180" i="18" s="1"/>
  <c r="Y23" i="8"/>
  <c r="AE12" i="11"/>
  <c r="T24" i="16"/>
  <c r="U24" i="16" s="1"/>
  <c r="G51" i="9"/>
  <c r="V14" i="11"/>
  <c r="F173" i="18" a="1"/>
  <c r="F173" i="18" s="1"/>
  <c r="Y10" i="8"/>
  <c r="Y25" i="8"/>
  <c r="G53" i="9"/>
  <c r="G48" i="9"/>
  <c r="AJ31" i="8"/>
  <c r="Y16" i="8"/>
  <c r="G88" i="9"/>
  <c r="AJ25" i="8"/>
  <c r="AG56" i="14" a="1"/>
  <c r="AG56" i="14" s="1"/>
  <c r="AD8" i="5"/>
  <c r="AF8" i="5" s="1"/>
  <c r="N29" i="8"/>
  <c r="Y9" i="8"/>
  <c r="AJ30" i="8"/>
  <c r="N20" i="8"/>
  <c r="AK45" i="13"/>
  <c r="AJ32" i="8"/>
  <c r="AF14" i="5"/>
  <c r="Y20" i="8"/>
  <c r="AJ33" i="8"/>
  <c r="G41" i="9"/>
  <c r="G44" i="9"/>
  <c r="T15" i="4"/>
  <c r="V15" i="4" s="1"/>
  <c r="G90" i="9"/>
  <c r="Y12" i="8"/>
  <c r="G39" i="9"/>
  <c r="AP19" i="8"/>
  <c r="AO19" i="8" s="1"/>
  <c r="AT19" i="8"/>
  <c r="AS19" i="8" s="1"/>
  <c r="G55" i="9"/>
  <c r="AR44" i="13" a="1"/>
  <c r="AR44" i="13" s="1"/>
  <c r="N22" i="8"/>
  <c r="G43" i="9"/>
  <c r="Y14" i="8"/>
  <c r="G64" i="9"/>
  <c r="Y27" i="8"/>
  <c r="X12" i="4"/>
  <c r="Z12" i="4" s="1"/>
  <c r="G21" i="9"/>
  <c r="Y22" i="8"/>
  <c r="Y26" i="8"/>
  <c r="G42" i="9"/>
  <c r="G37" i="9"/>
  <c r="Y19" i="8"/>
  <c r="AR19" i="8"/>
  <c r="AQ19" i="8" s="1"/>
  <c r="G31" i="9"/>
  <c r="G45" i="9"/>
  <c r="Z21" i="4"/>
  <c r="G40" i="9"/>
  <c r="N30" i="8"/>
  <c r="Y18" i="8"/>
  <c r="T11" i="4"/>
  <c r="V11" i="4" s="1"/>
  <c r="X12" i="11"/>
  <c r="G18" i="9"/>
  <c r="G22" i="9"/>
  <c r="G56" i="9"/>
  <c r="G46" i="9"/>
  <c r="AB26" i="11"/>
  <c r="AJ11" i="8"/>
  <c r="G50" i="9"/>
  <c r="G47" i="9"/>
  <c r="AB44" i="11"/>
  <c r="N23" i="8"/>
  <c r="G59" i="9"/>
  <c r="Y17" i="8"/>
  <c r="G54" i="9"/>
  <c r="Y13" i="8"/>
  <c r="Y15" i="8"/>
  <c r="W22" i="16"/>
  <c r="T12" i="4"/>
  <c r="V12" i="4" s="1"/>
  <c r="AK44" i="13"/>
  <c r="AK47" i="13" s="1"/>
  <c r="Z22" i="4"/>
  <c r="AD9" i="5"/>
  <c r="AF9" i="5" s="1"/>
  <c r="T16" i="4"/>
  <c r="V16" i="4" s="1"/>
  <c r="Z20" i="4"/>
  <c r="AJ29" i="8"/>
  <c r="AR51" i="13" a="1"/>
  <c r="AR51" i="13" s="1"/>
  <c r="AG62" i="14" a="1"/>
  <c r="AG62" i="14" s="1"/>
  <c r="AP53" i="9"/>
  <c r="AN51" i="9"/>
  <c r="AK56" i="13"/>
  <c r="G87" i="9"/>
  <c r="G49" i="9"/>
  <c r="Y29" i="8"/>
  <c r="G71" i="9"/>
  <c r="AJ24" i="8"/>
  <c r="AB72" i="11"/>
  <c r="AB37" i="11"/>
  <c r="V13" i="11"/>
  <c r="AB21" i="11"/>
  <c r="Y31" i="8"/>
  <c r="AJ10" i="8"/>
  <c r="G38" i="9"/>
  <c r="AF11" i="11" a="1"/>
  <c r="AF11" i="11" s="1"/>
  <c r="Y28" i="8"/>
  <c r="AJ13" i="8"/>
  <c r="G67" i="9"/>
  <c r="AJ9" i="8"/>
  <c r="G69" i="9"/>
  <c r="Y21" i="8"/>
  <c r="G68" i="9"/>
  <c r="AJ12" i="8"/>
  <c r="N24" i="8"/>
  <c r="AJ20" i="8"/>
  <c r="AG70" i="14" a="1"/>
  <c r="AG70" i="14" s="1"/>
  <c r="AR60" i="13" a="1"/>
  <c r="AR60" i="13" s="1"/>
  <c r="O76" i="9"/>
  <c r="N236" i="18" s="1" a="1"/>
  <c r="N236" i="18" s="1"/>
  <c r="R12" i="9"/>
  <c r="G57" i="9"/>
  <c r="AJ16" i="8"/>
  <c r="G12" i="9"/>
  <c r="G11" i="9"/>
  <c r="AB39" i="11"/>
  <c r="Y30" i="8"/>
  <c r="G72" i="9"/>
  <c r="AB64" i="11"/>
  <c r="N17" i="8"/>
  <c r="G23" i="9"/>
  <c r="AJ17" i="8"/>
  <c r="V15" i="11"/>
  <c r="G13" i="9"/>
  <c r="N21" i="8"/>
  <c r="Y24" i="8"/>
  <c r="AJ15" i="8"/>
  <c r="AJ8" i="8"/>
  <c r="G63" i="9"/>
  <c r="AR30" i="13" a="1"/>
  <c r="AR30" i="13" s="1"/>
  <c r="AG43" i="14" a="1"/>
  <c r="AG43" i="14" s="1"/>
  <c r="T81" i="9" a="1"/>
  <c r="Q32" i="9"/>
  <c r="O32" i="9" s="1"/>
  <c r="G25" i="9"/>
  <c r="Q29" i="9"/>
  <c r="Q10" i="9"/>
  <c r="Y32" i="8"/>
  <c r="N19" i="8"/>
  <c r="G10" i="9"/>
  <c r="R10" i="9"/>
  <c r="Y8" i="8"/>
  <c r="G36" i="9"/>
  <c r="X13" i="11"/>
  <c r="AE15" i="11"/>
  <c r="G20" i="9"/>
  <c r="Q11" i="9"/>
  <c r="U35" i="9"/>
  <c r="P12" i="9"/>
  <c r="W37" i="9" s="1"/>
  <c r="Q13" i="9"/>
  <c r="X14" i="11"/>
  <c r="N18" i="8"/>
  <c r="G29" i="9"/>
  <c r="N28" i="8"/>
  <c r="T66" i="9" a="1"/>
  <c r="T66" i="9" s="1"/>
  <c r="U43" i="10" a="1"/>
  <c r="AA51" i="10" s="1"/>
  <c r="AR9" i="13" a="1"/>
  <c r="AR9" i="13" s="1"/>
  <c r="AG24" i="14" a="1"/>
  <c r="AG24" i="14" s="1"/>
  <c r="N9" i="16" a="1"/>
  <c r="G17" i="9"/>
  <c r="N16" i="8"/>
  <c r="U11" i="11" a="1"/>
  <c r="M12" i="18" a="1"/>
  <c r="M12" i="18" s="1"/>
  <c r="G9" i="9"/>
  <c r="X11" i="11"/>
  <c r="V11" i="11"/>
  <c r="AE11" i="11"/>
  <c r="R9" i="9"/>
  <c r="Q9" i="9"/>
  <c r="CF44" i="15"/>
  <c r="BL54" i="15"/>
  <c r="CM47" i="15"/>
  <c r="CA47" i="15"/>
  <c r="BT44" i="15"/>
  <c r="AK38" i="15"/>
  <c r="BD38" i="15" s="1" a="1"/>
  <c r="BD38" i="15" s="1"/>
  <c r="S44" i="15"/>
  <c r="Q44" i="15"/>
  <c r="O44" i="15"/>
  <c r="Y31" i="15"/>
  <c r="AR31" i="15" s="1" a="1"/>
  <c r="T44" i="15"/>
  <c r="Z31" i="15"/>
  <c r="AY44" i="15"/>
  <c r="AF44" i="15"/>
  <c r="AG37" i="9" l="1" a="1"/>
  <c r="AG37" i="9" s="1"/>
  <c r="AG24" i="9" a="1"/>
  <c r="AG24" i="9" s="1"/>
  <c r="AG63" i="9" a="1"/>
  <c r="AG63" i="9" s="1"/>
  <c r="AG75" i="9" a="1"/>
  <c r="AG75" i="9" s="1"/>
  <c r="AI75" i="9" s="1"/>
  <c r="AG76" i="9" a="1"/>
  <c r="AG76" i="9" s="1"/>
  <c r="AI76" i="9" s="1"/>
  <c r="AG62" i="9" a="1"/>
  <c r="AG62" i="9" s="1"/>
  <c r="AC17" i="9"/>
  <c r="U58" i="10" a="1"/>
  <c r="AA65" i="10" s="1"/>
  <c r="AA80" i="10"/>
  <c r="AD11" i="9" a="1"/>
  <c r="AD11" i="9" s="1"/>
  <c r="AG50" i="9" a="1"/>
  <c r="AG50" i="9" s="1"/>
  <c r="AG49" i="9" a="1"/>
  <c r="AG49" i="9" s="1"/>
  <c r="Z13" i="4"/>
  <c r="T20" i="4" s="1"/>
  <c r="T21" i="4" s="1"/>
  <c r="J19" i="4" s="1"/>
  <c r="J20" i="4" s="1"/>
  <c r="F24" i="4" s="1"/>
  <c r="L80" i="18" a="1"/>
  <c r="L80" i="18" s="1"/>
  <c r="Y9" i="16" a="1"/>
  <c r="Z10" i="16" s="1"/>
  <c r="Y22" i="16"/>
  <c r="Z22" i="16" s="1"/>
  <c r="Z23" i="16"/>
  <c r="G191" i="18" a="1"/>
  <c r="G191" i="18" s="1"/>
  <c r="Y79" i="10"/>
  <c r="AA77" i="10"/>
  <c r="AB17" i="13" a="1"/>
  <c r="AB17" i="13" s="1"/>
  <c r="W79" i="10"/>
  <c r="W78" i="10"/>
  <c r="AB85" i="10"/>
  <c r="W80" i="10"/>
  <c r="AP51" i="9"/>
  <c r="W77" i="10"/>
  <c r="W74" i="10"/>
  <c r="T40" i="9" a="1"/>
  <c r="Z48" i="9" s="1"/>
  <c r="P13" i="9"/>
  <c r="W38" i="9" s="1"/>
  <c r="W73" i="10"/>
  <c r="U17" i="14" a="1"/>
  <c r="AA34" i="14" s="1"/>
  <c r="AA79" i="10"/>
  <c r="U72" i="10"/>
  <c r="W72" i="10" s="1"/>
  <c r="U17" i="10" a="1"/>
  <c r="Y39" i="10" s="1"/>
  <c r="AC19" i="9"/>
  <c r="Y77" i="10"/>
  <c r="U76" i="10"/>
  <c r="W76" i="10" s="1"/>
  <c r="AA73" i="10"/>
  <c r="G245" i="18" a="1"/>
  <c r="G245" i="18" s="1"/>
  <c r="Y74" i="10"/>
  <c r="AM56" i="13"/>
  <c r="AL56" i="13" s="1"/>
  <c r="W24" i="16"/>
  <c r="AM45" i="13"/>
  <c r="Z102" i="9"/>
  <c r="X100" i="9"/>
  <c r="AK11" i="16"/>
  <c r="X101" i="9"/>
  <c r="V103" i="9"/>
  <c r="AJ9" i="16"/>
  <c r="AK9" i="16" s="1"/>
  <c r="Z101" i="9"/>
  <c r="Z100" i="9"/>
  <c r="X102" i="9"/>
  <c r="T99" i="9"/>
  <c r="Z99" i="9" s="1"/>
  <c r="X103" i="9"/>
  <c r="Y80" i="10"/>
  <c r="AA78" i="10"/>
  <c r="AK12" i="16"/>
  <c r="V102" i="9"/>
  <c r="V101" i="9"/>
  <c r="V100" i="9"/>
  <c r="AK10" i="16"/>
  <c r="G224" i="18" a="1"/>
  <c r="G224" i="18" s="1"/>
  <c r="G236" i="18" a="1"/>
  <c r="G236" i="18" s="1"/>
  <c r="AA108" i="9"/>
  <c r="AA74" i="10"/>
  <c r="Z97" i="9"/>
  <c r="V97" i="9"/>
  <c r="X97" i="9"/>
  <c r="V96" i="9"/>
  <c r="X96" i="9"/>
  <c r="Z96" i="9"/>
  <c r="AN44" i="9" a="1"/>
  <c r="AP46" i="9" s="1"/>
  <c r="AK46" i="13"/>
  <c r="AM46" i="13" s="1"/>
  <c r="AE19" i="9"/>
  <c r="AH58" i="9"/>
  <c r="AH32" i="9"/>
  <c r="I15" i="5"/>
  <c r="K16" i="5" s="1"/>
  <c r="K17" i="5" s="1"/>
  <c r="K18" i="5" s="1"/>
  <c r="I16" i="5" s="1"/>
  <c r="T16" i="9"/>
  <c r="Z46" i="9"/>
  <c r="AH45" i="9"/>
  <c r="AH71" i="9"/>
  <c r="AH84" i="9"/>
  <c r="Z60" i="9"/>
  <c r="X63" i="9"/>
  <c r="AA22" i="4"/>
  <c r="G197" i="18" a="1"/>
  <c r="G197" i="18" s="1"/>
  <c r="U25" i="16"/>
  <c r="G180" i="18" a="1"/>
  <c r="G180" i="18" s="1"/>
  <c r="AG14" i="11"/>
  <c r="AA50" i="10"/>
  <c r="V17" i="4"/>
  <c r="G173" i="18" a="1"/>
  <c r="G173" i="18" s="1"/>
  <c r="U37" i="9"/>
  <c r="AF10" i="5"/>
  <c r="U83" i="11" a="1"/>
  <c r="U83" i="11" s="1"/>
  <c r="U83" i="10" s="1" a="1"/>
  <c r="U83" i="10" s="1"/>
  <c r="U83" i="13" s="1" a="1"/>
  <c r="W47" i="10"/>
  <c r="V20" i="4"/>
  <c r="V21" i="4" s="1"/>
  <c r="V22" i="4" s="1"/>
  <c r="P17" i="4" s="1"/>
  <c r="AA23" i="4"/>
  <c r="V13" i="4"/>
  <c r="AG36" i="14" a="1"/>
  <c r="AG36" i="14" s="1"/>
  <c r="P11" i="9"/>
  <c r="U36" i="9" s="1"/>
  <c r="U76" i="11" a="1"/>
  <c r="W77" i="11" s="1"/>
  <c r="L91" i="18" a="1"/>
  <c r="L91" i="18" s="1"/>
  <c r="AG11" i="11"/>
  <c r="AM44" i="13"/>
  <c r="AP56" i="9"/>
  <c r="AN56" i="9"/>
  <c r="V99" i="9"/>
  <c r="AB85" i="11"/>
  <c r="Y46" i="10"/>
  <c r="AA47" i="10"/>
  <c r="U72" i="11" a="1"/>
  <c r="U72" i="11" s="1"/>
  <c r="W72" i="11" s="1"/>
  <c r="L85" i="18" a="1"/>
  <c r="L85" i="18" s="1"/>
  <c r="V95" i="9"/>
  <c r="Z95" i="9"/>
  <c r="X95" i="9"/>
  <c r="AG13" i="11"/>
  <c r="W51" i="10"/>
  <c r="AR22" i="13" a="1"/>
  <c r="AR22" i="13" s="1"/>
  <c r="W46" i="10"/>
  <c r="O29" i="9"/>
  <c r="L67" i="18" a="1"/>
  <c r="L67" i="18" s="1"/>
  <c r="AG12" i="11"/>
  <c r="W50" i="10"/>
  <c r="AG15" i="11"/>
  <c r="U69" i="11" a="1"/>
  <c r="U69" i="11" s="1"/>
  <c r="U69" i="10" a="1"/>
  <c r="T92" i="9" a="1"/>
  <c r="AJ17" i="16" a="1"/>
  <c r="U58" i="11" a="1"/>
  <c r="Y67" i="11" s="1"/>
  <c r="Z90" i="9"/>
  <c r="Z89" i="9"/>
  <c r="Z88" i="9"/>
  <c r="Z87" i="9"/>
  <c r="Z86" i="9"/>
  <c r="X84" i="9"/>
  <c r="V82" i="9"/>
  <c r="X90" i="9"/>
  <c r="X89" i="9"/>
  <c r="X88" i="9"/>
  <c r="X87" i="9"/>
  <c r="X86" i="9"/>
  <c r="V84" i="9"/>
  <c r="V90" i="9"/>
  <c r="V89" i="9"/>
  <c r="V88" i="9"/>
  <c r="V87" i="9"/>
  <c r="V86" i="9"/>
  <c r="Z83" i="9"/>
  <c r="T81" i="9"/>
  <c r="Z85" i="9"/>
  <c r="X83" i="9"/>
  <c r="X85" i="9"/>
  <c r="V83" i="9"/>
  <c r="V85" i="9"/>
  <c r="Z82" i="9"/>
  <c r="Z84" i="9"/>
  <c r="X82" i="9"/>
  <c r="AA67" i="10"/>
  <c r="Y61" i="10"/>
  <c r="AA64" i="10"/>
  <c r="W48" i="10"/>
  <c r="U17" i="11" a="1"/>
  <c r="W25" i="11" s="1"/>
  <c r="L39" i="18" a="1"/>
  <c r="L39" i="18" s="1"/>
  <c r="Y13" i="11"/>
  <c r="W49" i="10"/>
  <c r="U53" i="11" a="1"/>
  <c r="AA54" i="11" s="1"/>
  <c r="L32" i="18" a="1"/>
  <c r="L32" i="18" s="1"/>
  <c r="AA49" i="10"/>
  <c r="Y48" i="10"/>
  <c r="Y45" i="10"/>
  <c r="Y50" i="10"/>
  <c r="Y47" i="10"/>
  <c r="AA46" i="10"/>
  <c r="Y49" i="10"/>
  <c r="AA48" i="10"/>
  <c r="AA45" i="10"/>
  <c r="Z72" i="9"/>
  <c r="Y14" i="11"/>
  <c r="V67" i="9"/>
  <c r="Z67" i="9"/>
  <c r="X68" i="9"/>
  <c r="U11" i="11"/>
  <c r="AA11" i="11" s="1"/>
  <c r="Y44" i="10"/>
  <c r="W45" i="10"/>
  <c r="Y51" i="10"/>
  <c r="Z69" i="9"/>
  <c r="X70" i="9"/>
  <c r="V73" i="9"/>
  <c r="V74" i="9"/>
  <c r="W12" i="11"/>
  <c r="X74" i="9"/>
  <c r="X71" i="9"/>
  <c r="Z68" i="9"/>
  <c r="Z74" i="9"/>
  <c r="X67" i="9"/>
  <c r="X72" i="9"/>
  <c r="X73" i="9"/>
  <c r="V70" i="9"/>
  <c r="V68" i="9"/>
  <c r="V69" i="9"/>
  <c r="W44" i="10"/>
  <c r="AA44" i="10"/>
  <c r="U43" i="10"/>
  <c r="W43" i="10" s="1"/>
  <c r="V71" i="9"/>
  <c r="Z70" i="9"/>
  <c r="Z73" i="9"/>
  <c r="X69" i="9"/>
  <c r="V72" i="9"/>
  <c r="Z71" i="9"/>
  <c r="U43" i="11" a="1"/>
  <c r="W50" i="11" s="1"/>
  <c r="L20" i="18" a="1"/>
  <c r="L20" i="18" s="1"/>
  <c r="O15" i="16"/>
  <c r="O16" i="16"/>
  <c r="O14" i="16"/>
  <c r="H9" i="16"/>
  <c r="O10" i="16"/>
  <c r="N9" i="16"/>
  <c r="O17" i="16"/>
  <c r="X66" i="9"/>
  <c r="V66" i="9"/>
  <c r="Z66" i="9"/>
  <c r="W15" i="11"/>
  <c r="AA13" i="11"/>
  <c r="W14" i="11"/>
  <c r="AA12" i="11"/>
  <c r="AA15" i="11"/>
  <c r="W13" i="11"/>
  <c r="AA14" i="11"/>
  <c r="Y12" i="11"/>
  <c r="Y15" i="11"/>
  <c r="P9" i="9"/>
  <c r="AC15" i="9"/>
  <c r="AF80" i="9"/>
  <c r="AR31" i="15"/>
  <c r="BK51" i="15" s="1" a="1"/>
  <c r="BK51" i="15" s="1"/>
  <c r="W60" i="10" l="1"/>
  <c r="W62" i="10"/>
  <c r="Y62" i="10"/>
  <c r="W61" i="10"/>
  <c r="Y67" i="10"/>
  <c r="W64" i="10"/>
  <c r="Y63" i="10"/>
  <c r="W59" i="10"/>
  <c r="Y64" i="10"/>
  <c r="W63" i="10"/>
  <c r="AA59" i="10"/>
  <c r="W66" i="10"/>
  <c r="X43" i="9"/>
  <c r="U58" i="10"/>
  <c r="Y60" i="10"/>
  <c r="Y66" i="10"/>
  <c r="W65" i="10"/>
  <c r="AA61" i="10"/>
  <c r="S9" i="16"/>
  <c r="AA63" i="10"/>
  <c r="AA66" i="10"/>
  <c r="Y65" i="10"/>
  <c r="AA60" i="10"/>
  <c r="W67" i="10"/>
  <c r="Z15" i="16"/>
  <c r="AA62" i="10"/>
  <c r="Y59" i="10"/>
  <c r="U38" i="9"/>
  <c r="S10" i="16"/>
  <c r="Z16" i="16"/>
  <c r="Z18" i="16"/>
  <c r="Y9" i="16"/>
  <c r="AN29" i="13" s="1" a="1"/>
  <c r="Z42" i="9"/>
  <c r="Z13" i="16"/>
  <c r="AA76" i="10"/>
  <c r="Z14" i="16"/>
  <c r="AN43" i="13" a="1"/>
  <c r="AN43" i="13" s="1"/>
  <c r="Z17" i="16"/>
  <c r="V52" i="9"/>
  <c r="F23" i="4"/>
  <c r="Y15" i="4"/>
  <c r="Y16" i="4" s="1"/>
  <c r="Y18" i="4" s="1"/>
  <c r="F19" i="4" s="1"/>
  <c r="F20" i="4" s="1"/>
  <c r="F139" i="18" s="1" a="1"/>
  <c r="F139" i="18" s="1"/>
  <c r="X44" i="9"/>
  <c r="X55" i="9"/>
  <c r="Z62" i="9"/>
  <c r="Z56" i="9"/>
  <c r="Z58" i="9"/>
  <c r="Z52" i="9"/>
  <c r="Z57" i="9"/>
  <c r="V54" i="9"/>
  <c r="Z54" i="9"/>
  <c r="AA20" i="10"/>
  <c r="Y22" i="10"/>
  <c r="AA72" i="10"/>
  <c r="U17" i="10"/>
  <c r="Y17" i="10" s="1"/>
  <c r="AA38" i="10"/>
  <c r="W24" i="10"/>
  <c r="AA26" i="10"/>
  <c r="Y32" i="10"/>
  <c r="W28" i="10"/>
  <c r="W34" i="10"/>
  <c r="Y34" i="10"/>
  <c r="Y29" i="10"/>
  <c r="Y36" i="10"/>
  <c r="W29" i="10"/>
  <c r="X41" i="9"/>
  <c r="W40" i="10"/>
  <c r="V49" i="9"/>
  <c r="Z63" i="9"/>
  <c r="Y76" i="10"/>
  <c r="W22" i="10"/>
  <c r="W36" i="10"/>
  <c r="Y31" i="10"/>
  <c r="W29" i="14"/>
  <c r="Y40" i="10"/>
  <c r="AA18" i="10"/>
  <c r="W35" i="10"/>
  <c r="Y37" i="10"/>
  <c r="AA25" i="10"/>
  <c r="AA32" i="10"/>
  <c r="AA39" i="10"/>
  <c r="AN50" i="13" a="1"/>
  <c r="AN50" i="13" s="1"/>
  <c r="X58" i="9"/>
  <c r="V44" i="9"/>
  <c r="T40" i="9"/>
  <c r="Z40" i="9" s="1"/>
  <c r="Y38" i="10"/>
  <c r="AA37" i="10"/>
  <c r="AA24" i="10"/>
  <c r="AA19" i="10"/>
  <c r="AA22" i="10"/>
  <c r="V57" i="9"/>
  <c r="X49" i="9"/>
  <c r="AA40" i="10"/>
  <c r="Y27" i="10"/>
  <c r="AA30" i="10"/>
  <c r="W32" i="10"/>
  <c r="X47" i="9"/>
  <c r="AA31" i="10"/>
  <c r="W27" i="10"/>
  <c r="V60" i="9"/>
  <c r="V45" i="9"/>
  <c r="X48" i="9"/>
  <c r="X56" i="9"/>
  <c r="V47" i="9"/>
  <c r="X59" i="9"/>
  <c r="Z43" i="9"/>
  <c r="X61" i="9"/>
  <c r="V63" i="9"/>
  <c r="X57" i="9"/>
  <c r="V42" i="9"/>
  <c r="X62" i="9"/>
  <c r="V53" i="9"/>
  <c r="X53" i="9"/>
  <c r="V58" i="9"/>
  <c r="V51" i="9"/>
  <c r="X60" i="9"/>
  <c r="V55" i="9"/>
  <c r="Z45" i="9"/>
  <c r="V62" i="9"/>
  <c r="V50" i="9"/>
  <c r="X50" i="9"/>
  <c r="Z50" i="9"/>
  <c r="V56" i="9"/>
  <c r="V43" i="9"/>
  <c r="V59" i="9"/>
  <c r="X54" i="9"/>
  <c r="Z59" i="9"/>
  <c r="Z55" i="9"/>
  <c r="X45" i="9"/>
  <c r="V48" i="9"/>
  <c r="Z44" i="9"/>
  <c r="Z53" i="9"/>
  <c r="V41" i="9"/>
  <c r="X51" i="9"/>
  <c r="X46" i="9"/>
  <c r="X52" i="9"/>
  <c r="V61" i="9"/>
  <c r="Z51" i="9"/>
  <c r="Z49" i="9"/>
  <c r="Z41" i="9"/>
  <c r="X42" i="9"/>
  <c r="AA29" i="10"/>
  <c r="W31" i="10"/>
  <c r="Z61" i="9"/>
  <c r="W38" i="10"/>
  <c r="Z47" i="9"/>
  <c r="AA35" i="10"/>
  <c r="V46" i="9"/>
  <c r="AA28" i="10"/>
  <c r="X99" i="9"/>
  <c r="Y30" i="10"/>
  <c r="AA34" i="10"/>
  <c r="Y19" i="10"/>
  <c r="Y36" i="14"/>
  <c r="AA32" i="14"/>
  <c r="Y28" i="10"/>
  <c r="W23" i="10"/>
  <c r="AA38" i="14"/>
  <c r="W22" i="14"/>
  <c r="W33" i="10"/>
  <c r="W18" i="10"/>
  <c r="AA27" i="10"/>
  <c r="W19" i="10"/>
  <c r="AA23" i="10"/>
  <c r="AA30" i="14"/>
  <c r="W37" i="10"/>
  <c r="Y24" i="10"/>
  <c r="AA21" i="10"/>
  <c r="Y72" i="10"/>
  <c r="Y18" i="10"/>
  <c r="Y25" i="10"/>
  <c r="Y26" i="10"/>
  <c r="Y21" i="10"/>
  <c r="W20" i="14"/>
  <c r="W26" i="10"/>
  <c r="Y40" i="14"/>
  <c r="W40" i="14"/>
  <c r="W37" i="14"/>
  <c r="Y39" i="14"/>
  <c r="AA29" i="14"/>
  <c r="Y29" i="14"/>
  <c r="Y26" i="14"/>
  <c r="AA25" i="14"/>
  <c r="Y27" i="14"/>
  <c r="U17" i="14"/>
  <c r="W27" i="14"/>
  <c r="W34" i="14"/>
  <c r="AA27" i="14"/>
  <c r="Y25" i="14"/>
  <c r="W38" i="14"/>
  <c r="AA40" i="14"/>
  <c r="W28" i="14"/>
  <c r="AA28" i="14"/>
  <c r="W24" i="14"/>
  <c r="Y19" i="14"/>
  <c r="AA22" i="14"/>
  <c r="W18" i="14"/>
  <c r="Y34" i="14"/>
  <c r="Y32" i="14"/>
  <c r="W25" i="14"/>
  <c r="Y33" i="14"/>
  <c r="W31" i="14"/>
  <c r="AA23" i="14"/>
  <c r="Y18" i="14"/>
  <c r="Y20" i="14"/>
  <c r="W19" i="14"/>
  <c r="AA31" i="14"/>
  <c r="AA18" i="14"/>
  <c r="W35" i="14"/>
  <c r="Y31" i="14"/>
  <c r="AA39" i="14"/>
  <c r="W32" i="14"/>
  <c r="AA36" i="14"/>
  <c r="W21" i="14"/>
  <c r="Y30" i="14"/>
  <c r="Y24" i="14"/>
  <c r="AA20" i="14"/>
  <c r="W30" i="14"/>
  <c r="Y21" i="14"/>
  <c r="W26" i="14"/>
  <c r="Y35" i="14"/>
  <c r="AA19" i="14"/>
  <c r="Y37" i="14"/>
  <c r="AA33" i="14"/>
  <c r="AA21" i="14"/>
  <c r="W33" i="14"/>
  <c r="W39" i="14"/>
  <c r="AA24" i="14"/>
  <c r="AA26" i="14"/>
  <c r="W23" i="14"/>
  <c r="AA35" i="14"/>
  <c r="Y22" i="14"/>
  <c r="Y28" i="14"/>
  <c r="AA37" i="14"/>
  <c r="Y38" i="14"/>
  <c r="W36" i="14"/>
  <c r="Y23" i="14"/>
  <c r="W25" i="10"/>
  <c r="Y23" i="10"/>
  <c r="AA36" i="10"/>
  <c r="W39" i="10"/>
  <c r="Y33" i="10"/>
  <c r="Y20" i="10"/>
  <c r="W20" i="10"/>
  <c r="W21" i="10"/>
  <c r="Y35" i="10"/>
  <c r="AA33" i="10"/>
  <c r="W30" i="10"/>
  <c r="U76" i="14" a="1"/>
  <c r="Y78" i="14" s="1"/>
  <c r="AF62" i="14" a="1"/>
  <c r="AH64" i="14" s="1"/>
  <c r="AB78" i="14" s="1"/>
  <c r="AM47" i="13"/>
  <c r="AL47" i="13" s="1"/>
  <c r="AN44" i="9"/>
  <c r="AP44" i="9" s="1"/>
  <c r="AP45" i="9"/>
  <c r="Z24" i="4"/>
  <c r="Z25" i="4" s="1"/>
  <c r="M22" i="4" s="1"/>
  <c r="M23" i="4" s="1"/>
  <c r="AA17" i="10"/>
  <c r="W17" i="10"/>
  <c r="U17" i="13" a="1"/>
  <c r="U53" i="10" a="1"/>
  <c r="AA56" i="10" s="1"/>
  <c r="N191" i="18" a="1"/>
  <c r="N191" i="18" s="1"/>
  <c r="T106" i="9" a="1"/>
  <c r="T106" i="9" s="1"/>
  <c r="Y78" i="11"/>
  <c r="Y79" i="11"/>
  <c r="U34" i="9"/>
  <c r="O173" i="18" a="1"/>
  <c r="O173" i="18" s="1"/>
  <c r="F143" i="18" a="1"/>
  <c r="F143" i="18" s="1"/>
  <c r="W73" i="11"/>
  <c r="Y74" i="11"/>
  <c r="J139" i="18" a="1"/>
  <c r="J139" i="18" s="1"/>
  <c r="W36" i="9"/>
  <c r="W62" i="11"/>
  <c r="Y60" i="11"/>
  <c r="Y73" i="11"/>
  <c r="V23" i="4"/>
  <c r="O17" i="4" s="1"/>
  <c r="Y62" i="11"/>
  <c r="AA60" i="11"/>
  <c r="W61" i="11"/>
  <c r="AA73" i="11"/>
  <c r="AA77" i="11"/>
  <c r="AA49" i="11"/>
  <c r="U76" i="11"/>
  <c r="AA76" i="11" s="1"/>
  <c r="W79" i="11"/>
  <c r="AA80" i="11"/>
  <c r="Y77" i="11"/>
  <c r="AA79" i="11"/>
  <c r="W80" i="11"/>
  <c r="AA78" i="11"/>
  <c r="W78" i="11"/>
  <c r="Y47" i="11"/>
  <c r="W24" i="11"/>
  <c r="Y80" i="11"/>
  <c r="W11" i="11"/>
  <c r="Y21" i="11"/>
  <c r="Y11" i="11"/>
  <c r="AA39" i="11"/>
  <c r="AA61" i="11"/>
  <c r="W19" i="11"/>
  <c r="N21" i="16" a="1"/>
  <c r="N21" i="16" s="1"/>
  <c r="AA20" i="11"/>
  <c r="W26" i="11"/>
  <c r="Y31" i="11"/>
  <c r="I6" i="16"/>
  <c r="I9" i="16" s="1"/>
  <c r="M19" i="5"/>
  <c r="I23" i="5" s="1"/>
  <c r="Q13" i="5" s="1"/>
  <c r="U83" i="13"/>
  <c r="U83" i="14" s="1" a="1"/>
  <c r="AO56" i="9"/>
  <c r="Y28" i="11"/>
  <c r="Y20" i="11"/>
  <c r="W63" i="11"/>
  <c r="Y33" i="11"/>
  <c r="Y59" i="11"/>
  <c r="AA74" i="11"/>
  <c r="AA35" i="11"/>
  <c r="AA59" i="11"/>
  <c r="W74" i="11"/>
  <c r="AA34" i="11"/>
  <c r="Y72" i="11"/>
  <c r="AF56" i="14" a="1"/>
  <c r="U72" i="14" a="1"/>
  <c r="AP45" i="13" a="1"/>
  <c r="AP45" i="13" s="1"/>
  <c r="AQ45" i="13" s="1"/>
  <c r="AS45" i="13" s="1"/>
  <c r="AB73" i="13" s="1"/>
  <c r="AP46" i="13" a="1"/>
  <c r="AP46" i="13" s="1"/>
  <c r="AQ46" i="13" s="1"/>
  <c r="AS46" i="13" s="1"/>
  <c r="AB74" i="13" s="1"/>
  <c r="AP44" i="13" a="1"/>
  <c r="AP44" i="13" s="1"/>
  <c r="AQ44" i="13" s="1"/>
  <c r="AA72" i="11"/>
  <c r="AG17" i="11"/>
  <c r="W36" i="11"/>
  <c r="Y64" i="11"/>
  <c r="W65" i="11"/>
  <c r="AA63" i="11"/>
  <c r="W60" i="11"/>
  <c r="Y66" i="11"/>
  <c r="W67" i="11"/>
  <c r="AA65" i="11"/>
  <c r="W55" i="11"/>
  <c r="W56" i="11"/>
  <c r="W64" i="11"/>
  <c r="AA62" i="11"/>
  <c r="Y61" i="11"/>
  <c r="Y56" i="11"/>
  <c r="W66" i="11"/>
  <c r="AA66" i="11"/>
  <c r="Y63" i="11"/>
  <c r="T76" i="9" a="1"/>
  <c r="X79" i="9" s="1"/>
  <c r="W29" i="11"/>
  <c r="Y27" i="11"/>
  <c r="U58" i="11"/>
  <c r="W58" i="11" s="1"/>
  <c r="W59" i="11"/>
  <c r="Y65" i="11"/>
  <c r="W70" i="11"/>
  <c r="AA70" i="11"/>
  <c r="Y70" i="11"/>
  <c r="AK18" i="16"/>
  <c r="AJ17" i="16"/>
  <c r="Z93" i="9"/>
  <c r="X93" i="9"/>
  <c r="T92" i="9"/>
  <c r="V93" i="9"/>
  <c r="AA70" i="10"/>
  <c r="W70" i="10"/>
  <c r="Y70" i="10"/>
  <c r="U69" i="10"/>
  <c r="Y69" i="11"/>
  <c r="W69" i="11"/>
  <c r="AA69" i="11"/>
  <c r="Y26" i="11"/>
  <c r="AA30" i="11"/>
  <c r="W39" i="11"/>
  <c r="AA33" i="11"/>
  <c r="W20" i="11"/>
  <c r="AA40" i="11"/>
  <c r="AA23" i="11"/>
  <c r="AA22" i="11"/>
  <c r="W33" i="11"/>
  <c r="AA28" i="11"/>
  <c r="AA19" i="11"/>
  <c r="Y41" i="11"/>
  <c r="W37" i="11"/>
  <c r="Y22" i="11"/>
  <c r="AA18" i="11"/>
  <c r="W27" i="11"/>
  <c r="W34" i="11"/>
  <c r="Y35" i="11"/>
  <c r="W32" i="11"/>
  <c r="W23" i="11"/>
  <c r="Y40" i="11"/>
  <c r="Y39" i="11"/>
  <c r="AA24" i="11"/>
  <c r="W22" i="11"/>
  <c r="Y29" i="11"/>
  <c r="Y36" i="11"/>
  <c r="AA37" i="11"/>
  <c r="AA64" i="11"/>
  <c r="AA67" i="11"/>
  <c r="W38" i="11"/>
  <c r="W18" i="11"/>
  <c r="Y34" i="11"/>
  <c r="Y25" i="11"/>
  <c r="W21" i="11"/>
  <c r="AA41" i="11"/>
  <c r="W28" i="11"/>
  <c r="Y24" i="11"/>
  <c r="AA31" i="11"/>
  <c r="Y19" i="11"/>
  <c r="W41" i="11"/>
  <c r="Y38" i="11"/>
  <c r="AA29" i="11"/>
  <c r="AA38" i="11"/>
  <c r="AA36" i="11"/>
  <c r="AA27" i="11"/>
  <c r="Y23" i="11"/>
  <c r="W30" i="11"/>
  <c r="Y30" i="11"/>
  <c r="AA26" i="11"/>
  <c r="W35" i="11"/>
  <c r="AA21" i="11"/>
  <c r="Y18" i="11"/>
  <c r="W40" i="11"/>
  <c r="W31" i="11"/>
  <c r="AA25" i="11"/>
  <c r="Y32" i="11"/>
  <c r="AA32" i="11"/>
  <c r="U17" i="11"/>
  <c r="AA17" i="11" s="1"/>
  <c r="Y37" i="11"/>
  <c r="Y58" i="10"/>
  <c r="W58" i="10"/>
  <c r="AA58" i="10"/>
  <c r="V81" i="9"/>
  <c r="Z81" i="9"/>
  <c r="X81" i="9"/>
  <c r="AA46" i="11"/>
  <c r="AA50" i="11"/>
  <c r="Y54" i="11"/>
  <c r="Y45" i="11"/>
  <c r="W51" i="11"/>
  <c r="AA51" i="11"/>
  <c r="Y43" i="10"/>
  <c r="W54" i="11"/>
  <c r="AA56" i="11"/>
  <c r="U43" i="11"/>
  <c r="W43" i="11" s="1"/>
  <c r="U53" i="11"/>
  <c r="Y53" i="11" s="1"/>
  <c r="Y55" i="11"/>
  <c r="AA45" i="11"/>
  <c r="AA47" i="11"/>
  <c r="AA55" i="11"/>
  <c r="W47" i="11"/>
  <c r="W45" i="11"/>
  <c r="Y46" i="11"/>
  <c r="Y44" i="11"/>
  <c r="AA43" i="10"/>
  <c r="W46" i="11"/>
  <c r="AA44" i="11"/>
  <c r="Y50" i="11"/>
  <c r="Y51" i="11"/>
  <c r="AA48" i="11"/>
  <c r="W49" i="11"/>
  <c r="W48" i="11"/>
  <c r="W44" i="11"/>
  <c r="Y48" i="11"/>
  <c r="Y49" i="11"/>
  <c r="AN8" i="13" a="1"/>
  <c r="O9" i="16"/>
  <c r="T34" i="9" a="1"/>
  <c r="T34" i="9" s="1"/>
  <c r="W34" i="9"/>
  <c r="AF11" i="14" a="1"/>
  <c r="AF11" i="13" a="1"/>
  <c r="AF11" i="10" a="1"/>
  <c r="M14" i="12"/>
  <c r="N14" i="12" s="1"/>
  <c r="I20" i="5"/>
  <c r="I19" i="5" s="1"/>
  <c r="I18" i="5"/>
  <c r="I17" i="5"/>
  <c r="Q19" i="12"/>
  <c r="J14" i="10" s="1"/>
  <c r="J18" i="10" s="1"/>
  <c r="AA78" i="14" l="1"/>
  <c r="AA80" i="14"/>
  <c r="W77" i="14"/>
  <c r="Y79" i="14"/>
  <c r="S11" i="16"/>
  <c r="AA79" i="14"/>
  <c r="W80" i="14"/>
  <c r="V40" i="9"/>
  <c r="Y80" i="14"/>
  <c r="Y77" i="14"/>
  <c r="W78" i="14"/>
  <c r="X40" i="9"/>
  <c r="AH65" i="14"/>
  <c r="AB79" i="14" s="1"/>
  <c r="AP52" i="13" a="1"/>
  <c r="AP52" i="13" s="1"/>
  <c r="AQ52" i="13" s="1"/>
  <c r="AS52" i="13" s="1"/>
  <c r="AB77" i="13" s="1"/>
  <c r="AA77" i="14"/>
  <c r="U76" i="14"/>
  <c r="W76" i="14" s="1"/>
  <c r="AP55" i="13" a="1"/>
  <c r="AP55" i="13" s="1"/>
  <c r="AQ55" i="13" s="1"/>
  <c r="AS55" i="13" s="1"/>
  <c r="AB80" i="13" s="1"/>
  <c r="AP51" i="13" a="1"/>
  <c r="AP51" i="13" s="1"/>
  <c r="AQ51" i="13" s="1"/>
  <c r="AS51" i="13" s="1"/>
  <c r="AB76" i="13" s="1"/>
  <c r="AP53" i="13" a="1"/>
  <c r="AP53" i="13" s="1"/>
  <c r="AQ53" i="13" s="1"/>
  <c r="AS53" i="13" s="1"/>
  <c r="AB78" i="13" s="1"/>
  <c r="AP54" i="13" a="1"/>
  <c r="AP54" i="13" s="1"/>
  <c r="AQ54" i="13" s="1"/>
  <c r="AS54" i="13" s="1"/>
  <c r="AB79" i="13" s="1"/>
  <c r="W79" i="14"/>
  <c r="W17" i="14"/>
  <c r="Y17" i="14"/>
  <c r="AA17" i="14"/>
  <c r="AH66" i="14"/>
  <c r="AB80" i="14" s="1"/>
  <c r="AF62" i="14"/>
  <c r="AH62" i="14" s="1"/>
  <c r="AB76" i="14" s="1"/>
  <c r="AH63" i="14"/>
  <c r="AB77" i="14" s="1"/>
  <c r="AA55" i="10"/>
  <c r="AP47" i="9"/>
  <c r="AN47" i="9"/>
  <c r="Y54" i="10"/>
  <c r="W55" i="10"/>
  <c r="U53" i="10"/>
  <c r="W53" i="10" s="1"/>
  <c r="W54" i="10"/>
  <c r="H20" i="4"/>
  <c r="H140" i="18" s="1"/>
  <c r="Y40" i="13"/>
  <c r="W40" i="13"/>
  <c r="AA25" i="13"/>
  <c r="AA27" i="13"/>
  <c r="AA38" i="13"/>
  <c r="AA18" i="13"/>
  <c r="AA37" i="13"/>
  <c r="Y37" i="13"/>
  <c r="AA36" i="13"/>
  <c r="W20" i="13"/>
  <c r="Y36" i="13"/>
  <c r="AA39" i="13"/>
  <c r="AA23" i="13"/>
  <c r="Y25" i="13"/>
  <c r="W35" i="13"/>
  <c r="Y38" i="13"/>
  <c r="W34" i="13"/>
  <c r="Y33" i="13"/>
  <c r="W33" i="13"/>
  <c r="Y32" i="13"/>
  <c r="W22" i="13"/>
  <c r="AA34" i="13"/>
  <c r="AA33" i="13"/>
  <c r="AA32" i="13"/>
  <c r="Y39" i="13"/>
  <c r="W25" i="13"/>
  <c r="AA24" i="13"/>
  <c r="W26" i="13"/>
  <c r="Y30" i="13"/>
  <c r="AA35" i="13"/>
  <c r="Y19" i="13"/>
  <c r="AA21" i="13"/>
  <c r="W31" i="13"/>
  <c r="AA29" i="13"/>
  <c r="Y29" i="13"/>
  <c r="Y26" i="13"/>
  <c r="AA30" i="13"/>
  <c r="Y22" i="13"/>
  <c r="W21" i="13"/>
  <c r="Y28" i="13"/>
  <c r="W32" i="13"/>
  <c r="Y41" i="13"/>
  <c r="W19" i="13"/>
  <c r="Y27" i="13"/>
  <c r="W27" i="13"/>
  <c r="AA26" i="13"/>
  <c r="Y24" i="13"/>
  <c r="AA28" i="13"/>
  <c r="AA31" i="13"/>
  <c r="Y20" i="13"/>
  <c r="AA19" i="13"/>
  <c r="W30" i="13"/>
  <c r="Y35" i="13"/>
  <c r="W41" i="13"/>
  <c r="W23" i="13"/>
  <c r="Y18" i="13"/>
  <c r="AA20" i="13"/>
  <c r="AA40" i="13"/>
  <c r="W24" i="13"/>
  <c r="AA41" i="13"/>
  <c r="W28" i="13"/>
  <c r="Y31" i="13"/>
  <c r="W39" i="13"/>
  <c r="Y21" i="13"/>
  <c r="W38" i="13"/>
  <c r="W18" i="13"/>
  <c r="W37" i="13"/>
  <c r="AA22" i="13"/>
  <c r="W36" i="13"/>
  <c r="Y23" i="13"/>
  <c r="Y34" i="13"/>
  <c r="W29" i="13"/>
  <c r="U17" i="13"/>
  <c r="Y55" i="10"/>
  <c r="Y56" i="10"/>
  <c r="W56" i="10"/>
  <c r="AA54" i="10"/>
  <c r="O24" i="16"/>
  <c r="V78" i="9"/>
  <c r="W17" i="11"/>
  <c r="H21" i="16"/>
  <c r="I21" i="16" s="1"/>
  <c r="H22" i="16"/>
  <c r="X20" i="4"/>
  <c r="X21" i="4" s="1"/>
  <c r="X22" i="4" s="1"/>
  <c r="X23" i="4" s="1"/>
  <c r="X24" i="4" s="1"/>
  <c r="M17" i="4" s="1"/>
  <c r="AF20" i="5"/>
  <c r="AH17" i="5" s="1"/>
  <c r="AH18" i="5" s="1"/>
  <c r="AH19" i="5" s="1"/>
  <c r="AH20" i="5" s="1"/>
  <c r="Q15" i="5"/>
  <c r="N161" i="18"/>
  <c r="F163" i="18" a="1"/>
  <c r="F163" i="18" s="1"/>
  <c r="T76" i="9"/>
  <c r="V76" i="9" s="1"/>
  <c r="X78" i="9"/>
  <c r="V79" i="9"/>
  <c r="Z78" i="9"/>
  <c r="Z79" i="9"/>
  <c r="V77" i="9"/>
  <c r="X77" i="9"/>
  <c r="W76" i="11"/>
  <c r="Z77" i="9"/>
  <c r="Y76" i="11"/>
  <c r="V35" i="9"/>
  <c r="T9" i="16"/>
  <c r="T10" i="16" s="1"/>
  <c r="U10" i="16" s="1"/>
  <c r="U83" i="14"/>
  <c r="M109" i="15" s="1" a="1"/>
  <c r="R109" i="15" a="1"/>
  <c r="R109" i="15" s="1"/>
  <c r="AK44" i="15" s="1" a="1"/>
  <c r="P109" i="15" a="1"/>
  <c r="N109" i="15" a="1"/>
  <c r="N109" i="15" s="1"/>
  <c r="AG44" i="15" s="1" a="1"/>
  <c r="AF17" i="9"/>
  <c r="AG17" i="9" s="1"/>
  <c r="AI30" i="9"/>
  <c r="AJ30" i="9" s="1"/>
  <c r="AI82" i="9"/>
  <c r="AJ82" i="9" s="1"/>
  <c r="AI69" i="9"/>
  <c r="AJ69" i="9" s="1"/>
  <c r="AI56" i="9"/>
  <c r="AJ56" i="9" s="1"/>
  <c r="AI43" i="9"/>
  <c r="AJ43" i="9" s="1"/>
  <c r="Y58" i="11"/>
  <c r="AA73" i="14"/>
  <c r="Y73" i="14"/>
  <c r="W73" i="14"/>
  <c r="Y74" i="14"/>
  <c r="U72" i="14"/>
  <c r="AA74" i="14"/>
  <c r="W74" i="14"/>
  <c r="U72" i="13" a="1"/>
  <c r="AS44" i="13"/>
  <c r="AB72" i="13" s="1"/>
  <c r="T99" i="15" s="1" a="1"/>
  <c r="T99" i="15" s="1"/>
  <c r="AM99" i="15" s="1" a="1"/>
  <c r="AM99" i="15" s="1"/>
  <c r="BF99" i="15" s="1" a="1"/>
  <c r="BF99" i="15" s="1"/>
  <c r="AF56" i="14"/>
  <c r="AH56" i="14" s="1"/>
  <c r="AB72" i="14" s="1"/>
  <c r="AH57" i="14"/>
  <c r="AB73" i="14" s="1"/>
  <c r="AH58" i="14"/>
  <c r="AB74" i="14" s="1"/>
  <c r="X35" i="9"/>
  <c r="Y17" i="11"/>
  <c r="AA58" i="11"/>
  <c r="Z92" i="9"/>
  <c r="X92" i="9"/>
  <c r="V92" i="9"/>
  <c r="Y69" i="10"/>
  <c r="W69" i="10"/>
  <c r="AA69" i="10"/>
  <c r="AD17" i="16"/>
  <c r="AN59" i="13" a="1"/>
  <c r="AA53" i="11"/>
  <c r="W53" i="11"/>
  <c r="AP36" i="13" a="1"/>
  <c r="AP36" i="13" s="1"/>
  <c r="AQ36" i="13" s="1"/>
  <c r="AS36" i="13" s="1"/>
  <c r="AB64" i="13" s="1"/>
  <c r="AP37" i="13" a="1"/>
  <c r="AP37" i="13" s="1"/>
  <c r="AQ37" i="13" s="1"/>
  <c r="AS37" i="13" s="1"/>
  <c r="AB65" i="13" s="1"/>
  <c r="AP38" i="13" a="1"/>
  <c r="AP38" i="13" s="1"/>
  <c r="AQ38" i="13" s="1"/>
  <c r="AS38" i="13" s="1"/>
  <c r="AB66" i="13" s="1"/>
  <c r="AN29" i="13"/>
  <c r="AP39" i="13" a="1"/>
  <c r="AP39" i="13" s="1"/>
  <c r="AQ39" i="13" s="1"/>
  <c r="AS39" i="13" s="1"/>
  <c r="AB67" i="13" s="1"/>
  <c r="AP31" i="13" a="1"/>
  <c r="AP31" i="13" s="1"/>
  <c r="AQ31" i="13" s="1"/>
  <c r="AS31" i="13" s="1"/>
  <c r="AB59" i="13" s="1"/>
  <c r="AP34" i="13" a="1"/>
  <c r="AP34" i="13" s="1"/>
  <c r="AQ34" i="13" s="1"/>
  <c r="AS34" i="13" s="1"/>
  <c r="AB62" i="13" s="1"/>
  <c r="AP35" i="13" a="1"/>
  <c r="AP35" i="13" s="1"/>
  <c r="AQ35" i="13" s="1"/>
  <c r="AS35" i="13" s="1"/>
  <c r="AB63" i="13" s="1"/>
  <c r="AA43" i="11"/>
  <c r="Y43" i="11"/>
  <c r="U85" i="11"/>
  <c r="M12" i="11" s="1"/>
  <c r="G15" i="11" s="1"/>
  <c r="AN21" i="13" a="1"/>
  <c r="H23" i="16"/>
  <c r="V38" i="9"/>
  <c r="Z38" i="9"/>
  <c r="Z37" i="9"/>
  <c r="Z36" i="9"/>
  <c r="Z35" i="9"/>
  <c r="X36" i="9"/>
  <c r="AP16" i="13" a="1"/>
  <c r="AP16" i="13" s="1"/>
  <c r="AQ16" i="13" s="1"/>
  <c r="AS16" i="13" s="1"/>
  <c r="AB50" i="13" s="1"/>
  <c r="AP17" i="13" a="1"/>
  <c r="AP17" i="13" s="1"/>
  <c r="AQ17" i="13" s="1"/>
  <c r="AS17" i="13" s="1"/>
  <c r="AB51" i="13" s="1"/>
  <c r="AP10" i="13" a="1"/>
  <c r="AP10" i="13" s="1"/>
  <c r="AQ10" i="13" s="1"/>
  <c r="AS10" i="13" s="1"/>
  <c r="AB44" i="13" s="1"/>
  <c r="AN8" i="13"/>
  <c r="AP9" i="13" a="1"/>
  <c r="AP9" i="13" s="1"/>
  <c r="AQ9" i="13" s="1"/>
  <c r="AP14" i="13" a="1"/>
  <c r="AP14" i="13" s="1"/>
  <c r="AQ14" i="13" s="1"/>
  <c r="AS14" i="13" s="1"/>
  <c r="AB48" i="13" s="1"/>
  <c r="AP15" i="13" a="1"/>
  <c r="AP15" i="13" s="1"/>
  <c r="AQ15" i="13" s="1"/>
  <c r="AS15" i="13" s="1"/>
  <c r="AB49" i="13" s="1"/>
  <c r="J9" i="16"/>
  <c r="K9" i="16"/>
  <c r="V37" i="9"/>
  <c r="V36" i="9"/>
  <c r="X37" i="9"/>
  <c r="X38" i="9"/>
  <c r="T9" i="9" a="1"/>
  <c r="Z34" i="9"/>
  <c r="V34" i="9"/>
  <c r="X34" i="9"/>
  <c r="AF11" i="10"/>
  <c r="AF11" i="13"/>
  <c r="AF11" i="14"/>
  <c r="V23" i="9"/>
  <c r="P14" i="12"/>
  <c r="P15" i="12"/>
  <c r="Y76" i="14" l="1"/>
  <c r="AA76" i="14"/>
  <c r="U76" i="13" a="1"/>
  <c r="AA78" i="13" s="1"/>
  <c r="T103" i="15" a="1"/>
  <c r="T103" i="15" s="1"/>
  <c r="AM103" i="15" s="1" a="1"/>
  <c r="AM103" i="15" s="1"/>
  <c r="BF103" i="15" s="1" a="1"/>
  <c r="BF103" i="15" s="1"/>
  <c r="Y53" i="10"/>
  <c r="AA53" i="10"/>
  <c r="M31" i="16" a="1"/>
  <c r="M31" i="16" s="1"/>
  <c r="H10" i="16"/>
  <c r="AO47" i="9"/>
  <c r="AI28" i="9" s="1"/>
  <c r="AJ28" i="9" s="1"/>
  <c r="AJ17" i="5"/>
  <c r="AJ18" i="5" s="1"/>
  <c r="O12" i="5" s="1"/>
  <c r="AH8" i="5" s="1"/>
  <c r="AJ8" i="5" s="1"/>
  <c r="AJ10" i="5" s="1"/>
  <c r="AI12" i="5" s="1"/>
  <c r="AI13" i="5" s="1"/>
  <c r="AI15" i="5" s="1"/>
  <c r="AI16" i="5" s="1"/>
  <c r="Y78" i="13"/>
  <c r="Y80" i="13"/>
  <c r="F31" i="15" a="1"/>
  <c r="F31" i="15" s="1"/>
  <c r="Y17" i="13"/>
  <c r="AA17" i="13"/>
  <c r="W17" i="13"/>
  <c r="X76" i="9"/>
  <c r="X108" i="9" s="1"/>
  <c r="T108" i="9"/>
  <c r="AH61" i="9" s="1"/>
  <c r="Z76" i="9"/>
  <c r="Z108" i="9" s="1"/>
  <c r="O18" i="4"/>
  <c r="W85" i="11"/>
  <c r="V85" i="11" s="1"/>
  <c r="G11" i="11" s="1"/>
  <c r="P18" i="4"/>
  <c r="S16" i="5"/>
  <c r="S17" i="5" s="1"/>
  <c r="S18" i="5" s="1"/>
  <c r="Q16" i="5" s="1"/>
  <c r="T14" i="12" s="1"/>
  <c r="U9" i="16"/>
  <c r="AK30" i="13" s="1"/>
  <c r="AK40" i="13" s="1"/>
  <c r="Y85" i="11"/>
  <c r="X85" i="11" s="1"/>
  <c r="G13" i="11" s="1"/>
  <c r="AA85" i="11"/>
  <c r="Z85" i="11" s="1"/>
  <c r="G14" i="11" s="1"/>
  <c r="M39" i="11" s="1"/>
  <c r="V9" i="16"/>
  <c r="M109" i="15"/>
  <c r="O110" i="15"/>
  <c r="S110" i="15"/>
  <c r="AG44" i="15"/>
  <c r="AH65" i="15"/>
  <c r="AH50" i="15"/>
  <c r="AH47" i="15"/>
  <c r="AH57" i="15"/>
  <c r="AH55" i="15"/>
  <c r="AH51" i="15"/>
  <c r="AH53" i="15"/>
  <c r="AH68" i="15"/>
  <c r="AH45" i="15"/>
  <c r="AH60" i="15"/>
  <c r="AH64" i="15"/>
  <c r="AH54" i="15"/>
  <c r="AH67" i="15"/>
  <c r="AH62" i="15"/>
  <c r="AH52" i="15"/>
  <c r="AH63" i="15"/>
  <c r="AH66" i="15"/>
  <c r="AH61" i="15"/>
  <c r="AH59" i="15"/>
  <c r="AH58" i="15"/>
  <c r="AH49" i="15"/>
  <c r="AH48" i="15"/>
  <c r="AH56" i="15"/>
  <c r="AH46" i="15"/>
  <c r="Q110" i="15"/>
  <c r="P109" i="15"/>
  <c r="AK44" i="15"/>
  <c r="AL62" i="15"/>
  <c r="AL66" i="15"/>
  <c r="AL63" i="15"/>
  <c r="AL57" i="15"/>
  <c r="AL48" i="15"/>
  <c r="AL61" i="15"/>
  <c r="AL60" i="15"/>
  <c r="AL51" i="15"/>
  <c r="AL52" i="15"/>
  <c r="AL46" i="15"/>
  <c r="AL49" i="15"/>
  <c r="AL64" i="15"/>
  <c r="AL45" i="15"/>
  <c r="AL50" i="15"/>
  <c r="AL68" i="15"/>
  <c r="AL67" i="15"/>
  <c r="AL47" i="15"/>
  <c r="AL55" i="15"/>
  <c r="AL53" i="15"/>
  <c r="AL58" i="15"/>
  <c r="AL56" i="15"/>
  <c r="AL59" i="15"/>
  <c r="AL65" i="15"/>
  <c r="AL54" i="15"/>
  <c r="Y74" i="13"/>
  <c r="W74" i="13"/>
  <c r="U72" i="13"/>
  <c r="AA73" i="13"/>
  <c r="Y73" i="13"/>
  <c r="W73" i="13"/>
  <c r="AA74" i="13"/>
  <c r="Y72" i="14"/>
  <c r="W72" i="14"/>
  <c r="AA72" i="14"/>
  <c r="AN59" i="13"/>
  <c r="AP61" i="13" a="1"/>
  <c r="AP61" i="13" s="1"/>
  <c r="AQ61" i="13" s="1"/>
  <c r="AS61" i="13" s="1"/>
  <c r="AB70" i="13" s="1"/>
  <c r="G10" i="11"/>
  <c r="P12" i="11" s="1"/>
  <c r="P13" i="11" s="1"/>
  <c r="Z12" i="16"/>
  <c r="W10" i="16"/>
  <c r="F9" i="5"/>
  <c r="F18" i="5" s="1"/>
  <c r="F19" i="5" s="1"/>
  <c r="F20" i="5" s="1"/>
  <c r="F21" i="5" s="1"/>
  <c r="F22" i="5" s="1"/>
  <c r="F17" i="5" s="1"/>
  <c r="F16" i="5" s="1"/>
  <c r="V10" i="16"/>
  <c r="T11" i="16"/>
  <c r="AK31" i="13"/>
  <c r="K21" i="16"/>
  <c r="J21" i="16"/>
  <c r="AP25" i="13" a="1"/>
  <c r="AP25" i="13" s="1"/>
  <c r="AQ25" i="13" s="1"/>
  <c r="AS25" i="13" s="1"/>
  <c r="AB56" i="13" s="1"/>
  <c r="AN21" i="13"/>
  <c r="I22" i="16"/>
  <c r="J22" i="16" s="1"/>
  <c r="AS9" i="13"/>
  <c r="AB43" i="13" s="1"/>
  <c r="O11" i="16"/>
  <c r="L9" i="16"/>
  <c r="AK9" i="13" a="1"/>
  <c r="AK9" i="13" s="1"/>
  <c r="V108" i="9"/>
  <c r="T9" i="9"/>
  <c r="F281" i="18" s="1" a="1"/>
  <c r="F281" i="18" s="1"/>
  <c r="AI84" i="9"/>
  <c r="AJ84" i="9" s="1"/>
  <c r="AI71" i="9"/>
  <c r="AJ71" i="9" s="1"/>
  <c r="AI45" i="9"/>
  <c r="AJ45" i="9" s="1"/>
  <c r="AI32" i="9"/>
  <c r="AJ32" i="9" s="1"/>
  <c r="AI58" i="9"/>
  <c r="AJ58" i="9" s="1"/>
  <c r="AF19" i="9"/>
  <c r="AG19" i="9" s="1"/>
  <c r="W79" i="13" l="1"/>
  <c r="W80" i="13"/>
  <c r="Y77" i="13"/>
  <c r="U76" i="13"/>
  <c r="I23" i="15" s="1" a="1"/>
  <c r="I23" i="15" s="1"/>
  <c r="AB23" i="15" s="1" a="1"/>
  <c r="AA79" i="13"/>
  <c r="AA77" i="13"/>
  <c r="W77" i="13"/>
  <c r="W78" i="13"/>
  <c r="G12" i="11"/>
  <c r="M38" i="11" s="1"/>
  <c r="AA80" i="13"/>
  <c r="Y79" i="13"/>
  <c r="I10" i="16"/>
  <c r="AI67" i="9"/>
  <c r="AJ67" i="9" s="1"/>
  <c r="AA76" i="13"/>
  <c r="Y76" i="13"/>
  <c r="AF15" i="9"/>
  <c r="AG15" i="9" s="1"/>
  <c r="AI41" i="9"/>
  <c r="AJ41" i="9" s="1"/>
  <c r="AI54" i="9"/>
  <c r="AJ54" i="9" s="1"/>
  <c r="AI80" i="9"/>
  <c r="AJ80" i="9" s="1"/>
  <c r="U108" i="9"/>
  <c r="AH22" i="9"/>
  <c r="AH74" i="9"/>
  <c r="Y108" i="9"/>
  <c r="T15" i="9"/>
  <c r="AE9" i="9"/>
  <c r="AH48" i="9"/>
  <c r="AH35" i="9"/>
  <c r="W108" i="9"/>
  <c r="AI35" i="9" s="1"/>
  <c r="Q20" i="5"/>
  <c r="Q19" i="5" s="1"/>
  <c r="Q18" i="5"/>
  <c r="X19" i="12"/>
  <c r="J14" i="14" s="1"/>
  <c r="J18" i="14" s="1"/>
  <c r="Q17" i="5"/>
  <c r="Z11" i="16"/>
  <c r="AM30" i="13"/>
  <c r="AP32" i="13" a="1"/>
  <c r="AP32" i="13" s="1"/>
  <c r="AQ32" i="13" s="1"/>
  <c r="AS32" i="13" s="1"/>
  <c r="AB60" i="13" s="1"/>
  <c r="W9" i="16"/>
  <c r="AD17" i="5"/>
  <c r="AD18" i="5" s="1"/>
  <c r="AD19" i="5" s="1"/>
  <c r="M16" i="5" s="1"/>
  <c r="M18" i="5" s="1"/>
  <c r="O109" i="15"/>
  <c r="S109" i="15"/>
  <c r="BD44" i="15" a="1"/>
  <c r="AL44" i="15"/>
  <c r="AI44" i="15" a="1"/>
  <c r="Q109" i="15"/>
  <c r="AZ44" i="15" a="1"/>
  <c r="AH44" i="15"/>
  <c r="AF109" i="15" a="1"/>
  <c r="AB23" i="15"/>
  <c r="AF103" i="15" s="1" a="1"/>
  <c r="M103" i="15" a="1"/>
  <c r="Y72" i="13"/>
  <c r="W72" i="13"/>
  <c r="AA72" i="13"/>
  <c r="I59" i="15" a="1"/>
  <c r="P39" i="11"/>
  <c r="H39" i="11"/>
  <c r="K39" i="11"/>
  <c r="J39" i="11"/>
  <c r="O39" i="11"/>
  <c r="I39" i="11"/>
  <c r="G39" i="11"/>
  <c r="N39" i="11"/>
  <c r="L39" i="11"/>
  <c r="F12" i="5"/>
  <c r="J37" i="11" s="1"/>
  <c r="AM31" i="13"/>
  <c r="AP33" i="13" a="1"/>
  <c r="AP33" i="13" s="1"/>
  <c r="AQ33" i="13" s="1"/>
  <c r="AS33" i="13" s="1"/>
  <c r="AB61" i="13" s="1"/>
  <c r="F15" i="5"/>
  <c r="U11" i="16"/>
  <c r="AK32" i="13" s="1"/>
  <c r="AM32" i="13" s="1"/>
  <c r="V11" i="16"/>
  <c r="F13" i="5"/>
  <c r="F14" i="12" s="1"/>
  <c r="G14" i="12" s="1"/>
  <c r="I15" i="12" s="1"/>
  <c r="T12" i="16"/>
  <c r="V12" i="16" s="1"/>
  <c r="F14" i="5"/>
  <c r="F13" i="12" s="1"/>
  <c r="H13" i="12" s="1"/>
  <c r="O23" i="16"/>
  <c r="L22" i="16"/>
  <c r="O22" i="16"/>
  <c r="L21" i="16"/>
  <c r="I23" i="16"/>
  <c r="K22" i="16"/>
  <c r="AK23" i="13"/>
  <c r="AK22" i="13"/>
  <c r="M29" i="16"/>
  <c r="AM9" i="13"/>
  <c r="AP11" i="13" a="1"/>
  <c r="AP11" i="13" s="1"/>
  <c r="AQ11" i="13" s="1"/>
  <c r="W76" i="13" l="1"/>
  <c r="T18" i="9"/>
  <c r="F290" i="18" s="1"/>
  <c r="F287" i="18" a="1"/>
  <c r="F287" i="18" s="1"/>
  <c r="L38" i="11"/>
  <c r="P38" i="11"/>
  <c r="H38" i="11"/>
  <c r="I38" i="11"/>
  <c r="N38" i="11"/>
  <c r="O38" i="11"/>
  <c r="K38" i="11"/>
  <c r="G38" i="11"/>
  <c r="G40" i="11" s="1"/>
  <c r="G43" i="11" s="1"/>
  <c r="I43" i="11" s="1"/>
  <c r="J38" i="11"/>
  <c r="J40" i="11" s="1"/>
  <c r="G46" i="11" s="1"/>
  <c r="I46" i="11" s="1"/>
  <c r="J10" i="16"/>
  <c r="O13" i="16" s="1"/>
  <c r="K10" i="16"/>
  <c r="AP30" i="13" a="1"/>
  <c r="AP30" i="13" s="1"/>
  <c r="AQ30" i="13" s="1"/>
  <c r="U58" i="13" s="1" a="1"/>
  <c r="AI22" i="9"/>
  <c r="AJ22" i="9" s="1"/>
  <c r="AF9" i="9"/>
  <c r="AG9" i="9" s="1"/>
  <c r="AI61" i="9"/>
  <c r="AJ61" i="9" s="1"/>
  <c r="AI74" i="9"/>
  <c r="AJ74" i="9" s="1"/>
  <c r="AI48" i="9"/>
  <c r="AJ48" i="9" s="1"/>
  <c r="AJ35" i="9"/>
  <c r="N163" i="18" a="1"/>
  <c r="N163" i="18" s="1"/>
  <c r="M15" i="5"/>
  <c r="J163" i="18" s="1" a="1"/>
  <c r="J163" i="18" s="1"/>
  <c r="AF109" i="15"/>
  <c r="AJ109" i="15" s="1"/>
  <c r="AJ110" i="15"/>
  <c r="AH110" i="15"/>
  <c r="AL110" i="15"/>
  <c r="BA60" i="15"/>
  <c r="BA57" i="15"/>
  <c r="BA63" i="15"/>
  <c r="BA67" i="15"/>
  <c r="BA56" i="15"/>
  <c r="BA52" i="15"/>
  <c r="BA61" i="15"/>
  <c r="BA45" i="15"/>
  <c r="BA64" i="15"/>
  <c r="BU80" i="15" a="1"/>
  <c r="BU80" i="15" s="1"/>
  <c r="BA59" i="15"/>
  <c r="BA49" i="15"/>
  <c r="BU85" i="15" a="1"/>
  <c r="BA55" i="15"/>
  <c r="BA66" i="15"/>
  <c r="BU70" i="15" a="1"/>
  <c r="BA62" i="15"/>
  <c r="BA47" i="15"/>
  <c r="BA58" i="15"/>
  <c r="BA68" i="15"/>
  <c r="BA50" i="15"/>
  <c r="BA54" i="15"/>
  <c r="AZ44" i="15"/>
  <c r="BA53" i="15"/>
  <c r="BA65" i="15"/>
  <c r="BA48" i="15"/>
  <c r="BA51" i="15"/>
  <c r="BA46" i="15"/>
  <c r="BY80" i="15" a="1"/>
  <c r="BY80" i="15" s="1"/>
  <c r="BE57" i="15"/>
  <c r="BE59" i="15"/>
  <c r="BE63" i="15"/>
  <c r="BE50" i="15"/>
  <c r="BE66" i="15"/>
  <c r="BE64" i="15"/>
  <c r="BY70" i="15" a="1"/>
  <c r="BD44" i="15"/>
  <c r="BE55" i="15"/>
  <c r="BE61" i="15"/>
  <c r="BE45" i="15"/>
  <c r="BE60" i="15"/>
  <c r="BE51" i="15"/>
  <c r="BE53" i="15"/>
  <c r="BE47" i="15"/>
  <c r="BE56" i="15"/>
  <c r="BE46" i="15"/>
  <c r="BE68" i="15"/>
  <c r="BE48" i="15"/>
  <c r="BE58" i="15"/>
  <c r="BE54" i="15"/>
  <c r="BE62" i="15"/>
  <c r="BE49" i="15"/>
  <c r="BE65" i="15"/>
  <c r="BE67" i="15"/>
  <c r="BE52" i="15"/>
  <c r="BY85" i="15" a="1"/>
  <c r="AI44" i="15"/>
  <c r="AJ68" i="15"/>
  <c r="AJ53" i="15"/>
  <c r="AJ50" i="15"/>
  <c r="AJ66" i="15"/>
  <c r="AJ62" i="15"/>
  <c r="AJ54" i="15"/>
  <c r="AJ55" i="15"/>
  <c r="AJ49" i="15"/>
  <c r="AJ46" i="15"/>
  <c r="AJ59" i="15"/>
  <c r="AJ65" i="15"/>
  <c r="AJ56" i="15"/>
  <c r="AJ52" i="15"/>
  <c r="AJ61" i="15"/>
  <c r="AJ58" i="15"/>
  <c r="AJ51" i="15"/>
  <c r="AJ48" i="15"/>
  <c r="AJ60" i="15"/>
  <c r="AJ57" i="15"/>
  <c r="AJ63" i="15"/>
  <c r="AJ45" i="15"/>
  <c r="AJ47" i="15"/>
  <c r="AJ64" i="15"/>
  <c r="AJ67" i="15"/>
  <c r="AH107" i="15"/>
  <c r="AJ106" i="15"/>
  <c r="AH105" i="15"/>
  <c r="AL107" i="15"/>
  <c r="AF103" i="15"/>
  <c r="AH106" i="15"/>
  <c r="AL105" i="15"/>
  <c r="AJ104" i="15"/>
  <c r="AL106" i="15"/>
  <c r="AH104" i="15"/>
  <c r="AJ107" i="15"/>
  <c r="AJ105" i="15"/>
  <c r="AL104" i="15"/>
  <c r="O107" i="15"/>
  <c r="Q104" i="15"/>
  <c r="Q107" i="15"/>
  <c r="Q105" i="15"/>
  <c r="S107" i="15"/>
  <c r="Q106" i="15"/>
  <c r="O104" i="15"/>
  <c r="S105" i="15"/>
  <c r="O106" i="15"/>
  <c r="S106" i="15"/>
  <c r="S104" i="15"/>
  <c r="M103" i="15"/>
  <c r="O105" i="15"/>
  <c r="AU23" i="15" a="1"/>
  <c r="I59" i="15"/>
  <c r="M99" i="15" s="1" a="1"/>
  <c r="L37" i="11"/>
  <c r="I14" i="12"/>
  <c r="M13" i="11"/>
  <c r="P14" i="11" s="1"/>
  <c r="M37" i="11"/>
  <c r="M40" i="11" s="1"/>
  <c r="G49" i="11" s="1"/>
  <c r="I49" i="11" s="1"/>
  <c r="G13" i="12"/>
  <c r="H21" i="12" s="1"/>
  <c r="F21" i="12" s="1"/>
  <c r="N37" i="11"/>
  <c r="H37" i="11"/>
  <c r="M14" i="11"/>
  <c r="M15" i="11" s="1"/>
  <c r="G16" i="11" s="1"/>
  <c r="P37" i="11"/>
  <c r="O37" i="11"/>
  <c r="K37" i="11"/>
  <c r="I37" i="11"/>
  <c r="J19" i="12"/>
  <c r="J14" i="11" s="1"/>
  <c r="J18" i="11" s="1"/>
  <c r="U12" i="16"/>
  <c r="Z9" i="16"/>
  <c r="W11" i="16"/>
  <c r="J23" i="16"/>
  <c r="AK24" i="13" s="1"/>
  <c r="AK26" i="13"/>
  <c r="AM22" i="13"/>
  <c r="AP23" i="13" a="1"/>
  <c r="AP23" i="13" s="1"/>
  <c r="AQ23" i="13" s="1"/>
  <c r="AS23" i="13" s="1"/>
  <c r="AB54" i="13" s="1"/>
  <c r="K23" i="16"/>
  <c r="AM23" i="13"/>
  <c r="AP24" i="13" a="1"/>
  <c r="AP24" i="13" s="1"/>
  <c r="AQ24" i="13" s="1"/>
  <c r="AS24" i="13" s="1"/>
  <c r="AB55" i="13" s="1"/>
  <c r="I24" i="16"/>
  <c r="J24" i="16" s="1"/>
  <c r="L24" i="16" s="1"/>
  <c r="AS11" i="13"/>
  <c r="AB45" i="13" s="1"/>
  <c r="K40" i="11" l="1"/>
  <c r="G47" i="11" s="1"/>
  <c r="I47" i="11" s="1"/>
  <c r="O40" i="11"/>
  <c r="G51" i="11" s="1"/>
  <c r="I51" i="11" s="1"/>
  <c r="L40" i="11"/>
  <c r="G48" i="11" s="1"/>
  <c r="I48" i="11" s="1"/>
  <c r="G55" i="11" s="1"/>
  <c r="P40" i="11"/>
  <c r="G52" i="11" s="1"/>
  <c r="I52" i="11" s="1"/>
  <c r="I40" i="11"/>
  <c r="G45" i="11" s="1"/>
  <c r="I45" i="11" s="1"/>
  <c r="H40" i="11"/>
  <c r="G44" i="11" s="1"/>
  <c r="I44" i="11" s="1"/>
  <c r="G54" i="11" s="1"/>
  <c r="N40" i="11"/>
  <c r="G50" i="11" s="1"/>
  <c r="I50" i="11" s="1"/>
  <c r="J10" i="11"/>
  <c r="I115" i="18" s="1"/>
  <c r="W12" i="16"/>
  <c r="S13" i="16"/>
  <c r="T13" i="16" s="1"/>
  <c r="U13" i="16" s="1"/>
  <c r="AS30" i="13"/>
  <c r="AB58" i="13" s="1"/>
  <c r="T85" i="15" s="1" a="1"/>
  <c r="T85" i="15" s="1"/>
  <c r="AM85" i="15" s="1" a="1"/>
  <c r="H11" i="16"/>
  <c r="L10" i="16"/>
  <c r="AK10" i="13"/>
  <c r="AK34" i="13"/>
  <c r="AM34" i="13" s="1"/>
  <c r="AK33" i="13"/>
  <c r="AM33" i="13" s="1"/>
  <c r="AY109" i="15" a="1"/>
  <c r="AY109" i="15" s="1"/>
  <c r="AB59" i="15" a="1"/>
  <c r="AB59" i="15" s="1"/>
  <c r="AF99" i="15" s="1" a="1"/>
  <c r="BB44" i="15" a="1"/>
  <c r="AJ44" i="15"/>
  <c r="BZ94" i="15"/>
  <c r="BY85" i="15"/>
  <c r="BZ92" i="15"/>
  <c r="BZ96" i="15"/>
  <c r="BZ93" i="15"/>
  <c r="BZ97" i="15"/>
  <c r="BZ89" i="15"/>
  <c r="BV75" i="15"/>
  <c r="BV72" i="15"/>
  <c r="BU70" i="15"/>
  <c r="BV78" i="15"/>
  <c r="BV77" i="15"/>
  <c r="BU44" i="15" a="1"/>
  <c r="BA44" i="15"/>
  <c r="BY44" i="15" a="1"/>
  <c r="BE44" i="15"/>
  <c r="BV97" i="15"/>
  <c r="BU85" i="15"/>
  <c r="BV96" i="15"/>
  <c r="BV93" i="15"/>
  <c r="BV89" i="15"/>
  <c r="BV92" i="15"/>
  <c r="BV94" i="15"/>
  <c r="BZ77" i="15"/>
  <c r="BZ72" i="15"/>
  <c r="BZ75" i="15"/>
  <c r="BZ78" i="15"/>
  <c r="BY70" i="15"/>
  <c r="AL109" i="15"/>
  <c r="AH109" i="15"/>
  <c r="AU23" i="15"/>
  <c r="BK43" i="15" s="1" a="1"/>
  <c r="AL103" i="15"/>
  <c r="AH103" i="15"/>
  <c r="AJ103" i="15"/>
  <c r="S103" i="15"/>
  <c r="Q103" i="15"/>
  <c r="O103" i="15"/>
  <c r="S100" i="15"/>
  <c r="Q100" i="15"/>
  <c r="M99" i="15"/>
  <c r="O100" i="15"/>
  <c r="Q101" i="15"/>
  <c r="O101" i="15"/>
  <c r="S101" i="15"/>
  <c r="M16" i="11"/>
  <c r="M17" i="11" s="1"/>
  <c r="G17" i="11" s="1"/>
  <c r="Y65" i="13"/>
  <c r="Y63" i="13"/>
  <c r="W62" i="13"/>
  <c r="AA60" i="13"/>
  <c r="W59" i="13"/>
  <c r="W65" i="13"/>
  <c r="W63" i="13"/>
  <c r="AA61" i="13"/>
  <c r="Y60" i="13"/>
  <c r="Y61" i="13"/>
  <c r="W60" i="13"/>
  <c r="AA66" i="13"/>
  <c r="AA64" i="13"/>
  <c r="W61" i="13"/>
  <c r="Y66" i="13"/>
  <c r="Y64" i="13"/>
  <c r="AA67" i="13"/>
  <c r="W66" i="13"/>
  <c r="W64" i="13"/>
  <c r="U58" i="13"/>
  <c r="Y67" i="13"/>
  <c r="AA62" i="13"/>
  <c r="AA59" i="13"/>
  <c r="W67" i="13"/>
  <c r="AA65" i="13"/>
  <c r="AA63" i="13"/>
  <c r="Y62" i="13"/>
  <c r="Y59" i="13"/>
  <c r="U58" i="14" a="1"/>
  <c r="AF43" i="14" a="1"/>
  <c r="AM24" i="13"/>
  <c r="AP22" i="13" a="1"/>
  <c r="AP22" i="13" s="1"/>
  <c r="AQ22" i="13" s="1"/>
  <c r="K24" i="16"/>
  <c r="K255" i="18" s="1" a="1"/>
  <c r="K255" i="18" s="1"/>
  <c r="AK25" i="13"/>
  <c r="AM25" i="13" s="1"/>
  <c r="O21" i="16"/>
  <c r="L23" i="16"/>
  <c r="J25" i="16"/>
  <c r="AN22" i="9" a="1"/>
  <c r="H18" i="12"/>
  <c r="J17" i="11" s="1"/>
  <c r="H23" i="12"/>
  <c r="F18" i="12"/>
  <c r="F23" i="12"/>
  <c r="G24" i="11" l="1"/>
  <c r="G25" i="11" a="1"/>
  <c r="G25" i="11" s="1"/>
  <c r="G56" i="11"/>
  <c r="G26" i="11" s="1" a="1"/>
  <c r="G26" i="11" s="1"/>
  <c r="S14" i="16"/>
  <c r="T14" i="16" s="1"/>
  <c r="U14" i="16" s="1"/>
  <c r="W14" i="16" s="1"/>
  <c r="AK35" i="13"/>
  <c r="AM35" i="13" s="1"/>
  <c r="V13" i="16"/>
  <c r="AM10" i="13"/>
  <c r="AP13" i="13" a="1"/>
  <c r="AP13" i="13" s="1"/>
  <c r="AQ13" i="13" s="1"/>
  <c r="AS13" i="13" s="1"/>
  <c r="AB47" i="13" s="1"/>
  <c r="I11" i="16"/>
  <c r="BA110" i="15"/>
  <c r="BE110" i="15"/>
  <c r="BC110" i="15"/>
  <c r="AY103" i="15" a="1"/>
  <c r="BC105" i="15" s="1"/>
  <c r="BE109" i="15"/>
  <c r="BA109" i="15"/>
  <c r="BY44" i="15"/>
  <c r="BZ44" i="15" s="1"/>
  <c r="BZ52" i="15"/>
  <c r="BZ58" i="15"/>
  <c r="BZ53" i="15"/>
  <c r="BZ61" i="15"/>
  <c r="BZ66" i="15"/>
  <c r="BZ48" i="15"/>
  <c r="BZ45" i="15"/>
  <c r="BZ67" i="15"/>
  <c r="BZ65" i="15"/>
  <c r="BZ55" i="15"/>
  <c r="BZ46" i="15"/>
  <c r="BZ51" i="15"/>
  <c r="BZ49" i="15"/>
  <c r="BZ50" i="15"/>
  <c r="BZ64" i="15"/>
  <c r="BZ57" i="15"/>
  <c r="BZ47" i="15"/>
  <c r="BZ62" i="15"/>
  <c r="BZ56" i="15"/>
  <c r="BZ63" i="15"/>
  <c r="BZ68" i="15"/>
  <c r="BZ59" i="15"/>
  <c r="BZ54" i="15"/>
  <c r="BZ60" i="15"/>
  <c r="BT109" i="15" a="1"/>
  <c r="BU44" i="15"/>
  <c r="BV44" i="15" s="1"/>
  <c r="BV64" i="15"/>
  <c r="BV68" i="15"/>
  <c r="BV49" i="15"/>
  <c r="BV59" i="15"/>
  <c r="BV54" i="15"/>
  <c r="BV50" i="15"/>
  <c r="BV60" i="15"/>
  <c r="BV51" i="15"/>
  <c r="BV56" i="15"/>
  <c r="BV53" i="15"/>
  <c r="BV55" i="15"/>
  <c r="BV62" i="15"/>
  <c r="BV66" i="15"/>
  <c r="BV57" i="15"/>
  <c r="BV52" i="15"/>
  <c r="BV58" i="15"/>
  <c r="BV61" i="15"/>
  <c r="BV63" i="15"/>
  <c r="BV67" i="15"/>
  <c r="BV65" i="15"/>
  <c r="BV46" i="15"/>
  <c r="BV48" i="15"/>
  <c r="BV47" i="15"/>
  <c r="BV45" i="15"/>
  <c r="BC57" i="15"/>
  <c r="BC46" i="15"/>
  <c r="BC67" i="15"/>
  <c r="BC54" i="15"/>
  <c r="BC68" i="15"/>
  <c r="BW85" i="15" a="1"/>
  <c r="BC55" i="15"/>
  <c r="BC50" i="15"/>
  <c r="BC59" i="15"/>
  <c r="BW80" i="15" a="1"/>
  <c r="BW80" i="15" s="1"/>
  <c r="BC58" i="15"/>
  <c r="BC60" i="15"/>
  <c r="BC63" i="15"/>
  <c r="BC62" i="15"/>
  <c r="BC66" i="15"/>
  <c r="BC53" i="15"/>
  <c r="BC52" i="15"/>
  <c r="BC47" i="15"/>
  <c r="BC56" i="15"/>
  <c r="BB44" i="15"/>
  <c r="BC51" i="15"/>
  <c r="BC49" i="15"/>
  <c r="BC64" i="15"/>
  <c r="BC61" i="15"/>
  <c r="BC48" i="15"/>
  <c r="BW70" i="15" a="1"/>
  <c r="BC45" i="15"/>
  <c r="BC65" i="15"/>
  <c r="BC109" i="15"/>
  <c r="BN45" i="15"/>
  <c r="BO45" i="15" s="1"/>
  <c r="BN44" i="15"/>
  <c r="BO44" i="15" s="1"/>
  <c r="BN46" i="15"/>
  <c r="BO46" i="15" s="1"/>
  <c r="BN47" i="15"/>
  <c r="BO47" i="15" s="1"/>
  <c r="BK43" i="15"/>
  <c r="BN43" i="15" s="1"/>
  <c r="AU59" i="15" a="1"/>
  <c r="AU59" i="15" s="1"/>
  <c r="AY99" i="15" s="1" a="1"/>
  <c r="S99" i="15"/>
  <c r="Q99" i="15"/>
  <c r="O99" i="15"/>
  <c r="AL101" i="15"/>
  <c r="AJ101" i="15"/>
  <c r="AF99" i="15"/>
  <c r="AH101" i="15"/>
  <c r="AL100" i="15"/>
  <c r="AJ100" i="15"/>
  <c r="AH100" i="15"/>
  <c r="P15" i="11"/>
  <c r="G18" i="11" s="1"/>
  <c r="F115" i="18" s="1" a="1"/>
  <c r="AA58" i="13"/>
  <c r="Y58" i="13"/>
  <c r="W58" i="13"/>
  <c r="AH49" i="14"/>
  <c r="AB64" i="14" s="1"/>
  <c r="AH48" i="14"/>
  <c r="AB63" i="14" s="1"/>
  <c r="AF43" i="14"/>
  <c r="AH43" i="14" s="1"/>
  <c r="AB58" i="14" s="1"/>
  <c r="AH47" i="14"/>
  <c r="AB62" i="14" s="1"/>
  <c r="AH46" i="14"/>
  <c r="AB61" i="14" s="1"/>
  <c r="AH45" i="14"/>
  <c r="AB60" i="14" s="1"/>
  <c r="AH52" i="14"/>
  <c r="AB67" i="14" s="1"/>
  <c r="AH44" i="14"/>
  <c r="AB59" i="14" s="1"/>
  <c r="AH51" i="14"/>
  <c r="AB66" i="14" s="1"/>
  <c r="AH50" i="14"/>
  <c r="AB65" i="14" s="1"/>
  <c r="AA67" i="14"/>
  <c r="Y64" i="14"/>
  <c r="Y67" i="14"/>
  <c r="W64" i="14"/>
  <c r="AA61" i="14"/>
  <c r="AA59" i="14"/>
  <c r="W67" i="14"/>
  <c r="AA65" i="14"/>
  <c r="Y61" i="14"/>
  <c r="Y59" i="14"/>
  <c r="Y65" i="14"/>
  <c r="W61" i="14"/>
  <c r="W59" i="14"/>
  <c r="W65" i="14"/>
  <c r="AA63" i="14"/>
  <c r="AA66" i="14"/>
  <c r="Y63" i="14"/>
  <c r="AA62" i="14"/>
  <c r="AA60" i="14"/>
  <c r="Y66" i="14"/>
  <c r="W63" i="14"/>
  <c r="Y62" i="14"/>
  <c r="Y60" i="14"/>
  <c r="W66" i="14"/>
  <c r="AA64" i="14"/>
  <c r="W62" i="14"/>
  <c r="W60" i="14"/>
  <c r="U58" i="14"/>
  <c r="F59" i="15" a="1"/>
  <c r="W13" i="16"/>
  <c r="AM85" i="15"/>
  <c r="BF85" i="15" s="1" a="1"/>
  <c r="BF85" i="15" s="1"/>
  <c r="AM26" i="13"/>
  <c r="AL26" i="13" s="1"/>
  <c r="U53" i="14" a="1"/>
  <c r="AF36" i="14" a="1"/>
  <c r="U53" i="13" a="1"/>
  <c r="AS22" i="13"/>
  <c r="AB53" i="13" s="1"/>
  <c r="AP25" i="9"/>
  <c r="AP23" i="9"/>
  <c r="AN22" i="9"/>
  <c r="AP22" i="9" s="1"/>
  <c r="AP24" i="9"/>
  <c r="H19" i="12"/>
  <c r="J13" i="11" s="1"/>
  <c r="J16" i="11"/>
  <c r="I121" i="18" s="1" a="1"/>
  <c r="I121" i="18" s="1"/>
  <c r="F19" i="12"/>
  <c r="J12" i="11" s="1"/>
  <c r="I117" i="18" s="1" a="1"/>
  <c r="I117" i="18" s="1"/>
  <c r="L117" i="18" l="1" a="1"/>
  <c r="L117" i="18" s="1"/>
  <c r="F115" i="18"/>
  <c r="S15" i="16"/>
  <c r="T15" i="16" s="1"/>
  <c r="AK37" i="13" s="1"/>
  <c r="AM37" i="13" s="1"/>
  <c r="V14" i="16"/>
  <c r="J11" i="16"/>
  <c r="O12" i="16" s="1"/>
  <c r="K11" i="16"/>
  <c r="AK36" i="13"/>
  <c r="AM36" i="13" s="1"/>
  <c r="BA106" i="15"/>
  <c r="BA107" i="15"/>
  <c r="BC106" i="15"/>
  <c r="BA104" i="15"/>
  <c r="BC107" i="15"/>
  <c r="BE107" i="15"/>
  <c r="BC104" i="15"/>
  <c r="BE105" i="15"/>
  <c r="BE106" i="15"/>
  <c r="AY103" i="15"/>
  <c r="BE103" i="15" s="1"/>
  <c r="BA105" i="15"/>
  <c r="BE104" i="15"/>
  <c r="CK44" i="15" a="1"/>
  <c r="CL64" i="15" s="1"/>
  <c r="BX110" i="15"/>
  <c r="BT109" i="15"/>
  <c r="BX109" i="15" s="1"/>
  <c r="BZ110" i="15"/>
  <c r="BV110" i="15"/>
  <c r="CG44" i="15" a="1"/>
  <c r="BW44" i="15" a="1"/>
  <c r="BC44" i="15"/>
  <c r="BX94" i="15"/>
  <c r="BW85" i="15"/>
  <c r="BX97" i="15"/>
  <c r="BX92" i="15"/>
  <c r="BX96" i="15"/>
  <c r="BX93" i="15"/>
  <c r="BX89" i="15"/>
  <c r="BX72" i="15"/>
  <c r="BW70" i="15"/>
  <c r="BX75" i="15"/>
  <c r="BX78" i="15"/>
  <c r="BX77" i="15"/>
  <c r="BT103" i="15" a="1"/>
  <c r="BO43" i="15"/>
  <c r="CF103" i="15" a="1"/>
  <c r="CM107" i="15"/>
  <c r="CA107" i="15"/>
  <c r="CM106" i="15"/>
  <c r="CA106" i="15"/>
  <c r="CM104" i="15"/>
  <c r="CA104" i="15"/>
  <c r="CA105" i="15"/>
  <c r="CM105" i="15"/>
  <c r="AL99" i="15"/>
  <c r="AH99" i="15"/>
  <c r="AJ99" i="15"/>
  <c r="BC101" i="15"/>
  <c r="BA101" i="15"/>
  <c r="BA100" i="15"/>
  <c r="BC100" i="15"/>
  <c r="AY99" i="15"/>
  <c r="BE101" i="15"/>
  <c r="BE100" i="15"/>
  <c r="BK92" i="15" a="1"/>
  <c r="F59" i="15"/>
  <c r="M85" i="15" s="1" a="1"/>
  <c r="Y58" i="14"/>
  <c r="W58" i="14"/>
  <c r="AA58" i="14"/>
  <c r="T80" i="15" a="1"/>
  <c r="T80" i="15" s="1"/>
  <c r="AM80" i="15" s="1" a="1"/>
  <c r="AM80" i="15" s="1"/>
  <c r="BF80" i="15" s="1" a="1"/>
  <c r="BF80" i="15" s="1"/>
  <c r="AP26" i="9"/>
  <c r="AH38" i="14"/>
  <c r="AB55" i="14" s="1"/>
  <c r="AH39" i="14"/>
  <c r="AB56" i="14" s="1"/>
  <c r="AF36" i="14"/>
  <c r="AH36" i="14" s="1"/>
  <c r="AB53" i="14" s="1"/>
  <c r="AH37" i="14"/>
  <c r="AB54" i="14" s="1"/>
  <c r="AN26" i="9"/>
  <c r="Y54" i="13"/>
  <c r="AA56" i="13"/>
  <c r="W54" i="13"/>
  <c r="Y56" i="13"/>
  <c r="W56" i="13"/>
  <c r="U53" i="13"/>
  <c r="F19" i="15" s="1" a="1"/>
  <c r="AA55" i="13"/>
  <c r="Y55" i="13"/>
  <c r="W55" i="13"/>
  <c r="AA54" i="13"/>
  <c r="W55" i="14"/>
  <c r="AA56" i="14"/>
  <c r="AA54" i="14"/>
  <c r="Y56" i="14"/>
  <c r="Y54" i="14"/>
  <c r="W56" i="14"/>
  <c r="W54" i="14"/>
  <c r="AA55" i="14"/>
  <c r="Y55" i="14"/>
  <c r="U53" i="14"/>
  <c r="V15" i="16" l="1"/>
  <c r="U15" i="16"/>
  <c r="AF24" i="14" a="1"/>
  <c r="U43" i="14" a="1"/>
  <c r="H12" i="16"/>
  <c r="L11" i="16"/>
  <c r="AK11" i="13"/>
  <c r="BA103" i="15"/>
  <c r="CL48" i="15"/>
  <c r="CL50" i="15"/>
  <c r="CL52" i="15"/>
  <c r="CL49" i="15"/>
  <c r="CL47" i="15"/>
  <c r="BC103" i="15"/>
  <c r="CL61" i="15"/>
  <c r="CL56" i="15"/>
  <c r="CL67" i="15"/>
  <c r="CK44" i="15"/>
  <c r="CL44" i="15" s="1"/>
  <c r="CL59" i="15"/>
  <c r="CL51" i="15"/>
  <c r="CL66" i="15"/>
  <c r="CL68" i="15"/>
  <c r="CL54" i="15"/>
  <c r="CL53" i="15"/>
  <c r="CL62" i="15"/>
  <c r="CL46" i="15"/>
  <c r="CL60" i="15"/>
  <c r="CL45" i="15"/>
  <c r="CL58" i="15"/>
  <c r="CL57" i="15"/>
  <c r="CL55" i="15"/>
  <c r="CL63" i="15"/>
  <c r="CL65" i="15"/>
  <c r="CF109" i="15" a="1"/>
  <c r="CH110" i="15" s="1"/>
  <c r="CH62" i="15"/>
  <c r="CH68" i="15"/>
  <c r="CH61" i="15"/>
  <c r="CH52" i="15"/>
  <c r="CG44" i="15"/>
  <c r="CH44" i="15" s="1"/>
  <c r="CH49" i="15"/>
  <c r="CH63" i="15"/>
  <c r="CH50" i="15"/>
  <c r="CH59" i="15"/>
  <c r="CH47" i="15"/>
  <c r="CH58" i="15"/>
  <c r="CH57" i="15"/>
  <c r="CH55" i="15"/>
  <c r="CH64" i="15"/>
  <c r="CH53" i="15"/>
  <c r="CH67" i="15"/>
  <c r="CH65" i="15"/>
  <c r="CH66" i="15"/>
  <c r="CH45" i="15"/>
  <c r="CH48" i="15"/>
  <c r="CH56" i="15"/>
  <c r="CH51" i="15"/>
  <c r="CH60" i="15"/>
  <c r="CH54" i="15"/>
  <c r="CH46" i="15"/>
  <c r="BW44" i="15"/>
  <c r="BX44" i="15" s="1"/>
  <c r="BX45" i="15"/>
  <c r="BX63" i="15"/>
  <c r="BX59" i="15"/>
  <c r="BX58" i="15"/>
  <c r="BX46" i="15"/>
  <c r="BX48" i="15"/>
  <c r="BX62" i="15"/>
  <c r="BX49" i="15"/>
  <c r="BX52" i="15"/>
  <c r="BX68" i="15"/>
  <c r="BX51" i="15"/>
  <c r="BX56" i="15"/>
  <c r="BX66" i="15"/>
  <c r="BX65" i="15"/>
  <c r="BX50" i="15"/>
  <c r="BX67" i="15"/>
  <c r="BX60" i="15"/>
  <c r="BX54" i="15"/>
  <c r="BX55" i="15"/>
  <c r="BX57" i="15"/>
  <c r="BX64" i="15"/>
  <c r="BX53" i="15"/>
  <c r="BX47" i="15"/>
  <c r="BX61" i="15"/>
  <c r="BV109" i="15"/>
  <c r="BZ109" i="15"/>
  <c r="CH106" i="15"/>
  <c r="CF103" i="15"/>
  <c r="CL107" i="15"/>
  <c r="CL104" i="15"/>
  <c r="CH107" i="15"/>
  <c r="CH104" i="15"/>
  <c r="CL105" i="15"/>
  <c r="CH105" i="15"/>
  <c r="CL106" i="15"/>
  <c r="BX104" i="15"/>
  <c r="BZ106" i="15"/>
  <c r="BV104" i="15"/>
  <c r="BZ107" i="15"/>
  <c r="BX105" i="15"/>
  <c r="BZ105" i="15"/>
  <c r="BZ104" i="15"/>
  <c r="BX107" i="15"/>
  <c r="BT103" i="15"/>
  <c r="BV107" i="15"/>
  <c r="BV106" i="15"/>
  <c r="BX106" i="15"/>
  <c r="BV105" i="15"/>
  <c r="CA103" i="15"/>
  <c r="CM103" i="15"/>
  <c r="BC99" i="15"/>
  <c r="BE99" i="15"/>
  <c r="BA99" i="15"/>
  <c r="BN93" i="15"/>
  <c r="BN94" i="15"/>
  <c r="BK92" i="15"/>
  <c r="BN92" i="15" s="1"/>
  <c r="Y59" i="15" a="1"/>
  <c r="Y59" i="15" s="1"/>
  <c r="AF85" i="15" s="1" a="1"/>
  <c r="Q88" i="15"/>
  <c r="Q86" i="15"/>
  <c r="S93" i="15"/>
  <c r="S94" i="15"/>
  <c r="O94" i="15"/>
  <c r="Q92" i="15"/>
  <c r="Q93" i="15"/>
  <c r="S90" i="15"/>
  <c r="O90" i="15"/>
  <c r="S91" i="15"/>
  <c r="O92" i="15"/>
  <c r="O88" i="15"/>
  <c r="Q89" i="15"/>
  <c r="O87" i="15"/>
  <c r="Q91" i="15"/>
  <c r="S86" i="15"/>
  <c r="O86" i="15"/>
  <c r="Q87" i="15"/>
  <c r="S87" i="15"/>
  <c r="S88" i="15"/>
  <c r="Q94" i="15"/>
  <c r="M85" i="15"/>
  <c r="S92" i="15"/>
  <c r="O93" i="15"/>
  <c r="Q90" i="15"/>
  <c r="O89" i="15"/>
  <c r="S89" i="15"/>
  <c r="O91" i="15"/>
  <c r="AO26" i="9"/>
  <c r="AI65" i="9" s="1"/>
  <c r="AJ65" i="9" s="1"/>
  <c r="W53" i="13"/>
  <c r="AA53" i="13"/>
  <c r="Y53" i="13"/>
  <c r="F19" i="15"/>
  <c r="Y19" i="15" s="1" a="1"/>
  <c r="Y53" i="14"/>
  <c r="W53" i="14"/>
  <c r="AA53" i="14"/>
  <c r="W15" i="16" l="1"/>
  <c r="S16" i="16"/>
  <c r="T16" i="16" s="1"/>
  <c r="AM11" i="13"/>
  <c r="AP12" i="13" a="1"/>
  <c r="AP12" i="13" s="1"/>
  <c r="AQ12" i="13" s="1"/>
  <c r="W46" i="14"/>
  <c r="U43" i="14"/>
  <c r="Y48" i="14"/>
  <c r="Y51" i="14"/>
  <c r="AA44" i="14"/>
  <c r="Y50" i="14"/>
  <c r="W45" i="14"/>
  <c r="W48" i="14"/>
  <c r="W49" i="14"/>
  <c r="AA46" i="14"/>
  <c r="AA47" i="14"/>
  <c r="AA45" i="14"/>
  <c r="AA49" i="14"/>
  <c r="AA50" i="14"/>
  <c r="AA48" i="14"/>
  <c r="W47" i="14"/>
  <c r="Y46" i="14"/>
  <c r="Y47" i="14"/>
  <c r="Y45" i="14"/>
  <c r="W51" i="14"/>
  <c r="Y44" i="14"/>
  <c r="W50" i="14"/>
  <c r="Y49" i="14"/>
  <c r="W44" i="14"/>
  <c r="AA51" i="14"/>
  <c r="AH26" i="14"/>
  <c r="AB45" i="14" s="1"/>
  <c r="AH27" i="14"/>
  <c r="AB46" i="14" s="1"/>
  <c r="AH28" i="14"/>
  <c r="AB47" i="14" s="1"/>
  <c r="AF24" i="14"/>
  <c r="AH24" i="14" s="1"/>
  <c r="AB43" i="14" s="1"/>
  <c r="AH29" i="14"/>
  <c r="AB48" i="14" s="1"/>
  <c r="AH30" i="14"/>
  <c r="AB49" i="14" s="1"/>
  <c r="AH31" i="14"/>
  <c r="AB50" i="14" s="1"/>
  <c r="AH32" i="14"/>
  <c r="AB51" i="14" s="1"/>
  <c r="AH25" i="14"/>
  <c r="AB44" i="14" s="1"/>
  <c r="I12" i="16"/>
  <c r="AI26" i="9"/>
  <c r="AJ26" i="9" s="1"/>
  <c r="AI39" i="9"/>
  <c r="AJ39" i="9" s="1"/>
  <c r="AI52" i="9"/>
  <c r="AJ52" i="9" s="1"/>
  <c r="AF13" i="9"/>
  <c r="AG13" i="9" s="1"/>
  <c r="AI78" i="9"/>
  <c r="AJ78" i="9" s="1"/>
  <c r="CL110" i="15"/>
  <c r="CF109" i="15"/>
  <c r="CH109" i="15" s="1"/>
  <c r="CI44" i="15" a="1"/>
  <c r="BV103" i="15"/>
  <c r="BZ103" i="15"/>
  <c r="BX103" i="15"/>
  <c r="CL103" i="15"/>
  <c r="CH103" i="15"/>
  <c r="BT100" i="15"/>
  <c r="BO93" i="15"/>
  <c r="BT99" i="15"/>
  <c r="BO92" i="15"/>
  <c r="CF99" i="15" a="1"/>
  <c r="BT101" i="15"/>
  <c r="BO94" i="15"/>
  <c r="AR59" i="15" a="1"/>
  <c r="AR59" i="15" s="1"/>
  <c r="AY85" i="15" s="1" a="1"/>
  <c r="AJ94" i="15"/>
  <c r="AH89" i="15"/>
  <c r="AJ93" i="15"/>
  <c r="AF85" i="15"/>
  <c r="AJ90" i="15"/>
  <c r="AL87" i="15"/>
  <c r="AH92" i="15"/>
  <c r="AH91" i="15"/>
  <c r="AL94" i="15"/>
  <c r="AL86" i="15"/>
  <c r="AL89" i="15"/>
  <c r="AL92" i="15"/>
  <c r="AJ91" i="15"/>
  <c r="AJ88" i="15"/>
  <c r="AL93" i="15"/>
  <c r="AL90" i="15"/>
  <c r="AH88" i="15"/>
  <c r="AH86" i="15"/>
  <c r="AJ86" i="15"/>
  <c r="AJ87" i="15"/>
  <c r="AL88" i="15"/>
  <c r="AH93" i="15"/>
  <c r="AH90" i="15"/>
  <c r="AH94" i="15"/>
  <c r="AL91" i="15"/>
  <c r="AH87" i="15"/>
  <c r="AJ92" i="15"/>
  <c r="AJ89" i="15"/>
  <c r="O85" i="15"/>
  <c r="S85" i="15"/>
  <c r="Q85" i="15"/>
  <c r="M80" i="15" a="1"/>
  <c r="O81" i="15" s="1"/>
  <c r="Y19" i="15"/>
  <c r="AF80" i="15" s="1" a="1"/>
  <c r="U16" i="16" l="1"/>
  <c r="V16" i="16"/>
  <c r="W43" i="14"/>
  <c r="AA43" i="14"/>
  <c r="Y43" i="14"/>
  <c r="AS12" i="13"/>
  <c r="AB46" i="13" s="1"/>
  <c r="U43" i="13" a="1"/>
  <c r="J12" i="16"/>
  <c r="AK12" i="13" s="1"/>
  <c r="AM12" i="13" s="1"/>
  <c r="K12" i="16"/>
  <c r="CL109" i="15"/>
  <c r="CJ62" i="15"/>
  <c r="CI44" i="15"/>
  <c r="CJ44" i="15" s="1"/>
  <c r="CJ48" i="15"/>
  <c r="CJ61" i="15"/>
  <c r="CJ55" i="15"/>
  <c r="CJ60" i="15"/>
  <c r="CJ56" i="15"/>
  <c r="CJ49" i="15"/>
  <c r="CJ53" i="15"/>
  <c r="CJ51" i="15"/>
  <c r="CJ64" i="15"/>
  <c r="CJ54" i="15"/>
  <c r="CJ47" i="15"/>
  <c r="CJ65" i="15"/>
  <c r="CJ59" i="15"/>
  <c r="CJ63" i="15"/>
  <c r="CJ50" i="15"/>
  <c r="CJ66" i="15"/>
  <c r="CJ58" i="15"/>
  <c r="CJ68" i="15"/>
  <c r="CJ57" i="15"/>
  <c r="CJ45" i="15"/>
  <c r="CJ67" i="15"/>
  <c r="CJ52" i="15"/>
  <c r="CJ46" i="15"/>
  <c r="CJ109" i="15"/>
  <c r="CJ106" i="15"/>
  <c r="CJ104" i="15"/>
  <c r="CJ107" i="15"/>
  <c r="CJ105" i="15"/>
  <c r="CJ110" i="15"/>
  <c r="CJ103" i="15"/>
  <c r="BK79" i="15" a="1"/>
  <c r="BN84" i="15" s="1"/>
  <c r="CM101" i="15"/>
  <c r="CA101" i="15"/>
  <c r="CA99" i="15"/>
  <c r="CM99" i="15"/>
  <c r="BV99" i="15"/>
  <c r="BZ99" i="15"/>
  <c r="BX99" i="15"/>
  <c r="BX101" i="15"/>
  <c r="BZ101" i="15"/>
  <c r="BV101" i="15"/>
  <c r="CA100" i="15"/>
  <c r="CM100" i="15"/>
  <c r="CL101" i="15"/>
  <c r="CH101" i="15"/>
  <c r="CJ101" i="15"/>
  <c r="CJ100" i="15"/>
  <c r="CL100" i="15"/>
  <c r="CH100" i="15"/>
  <c r="CF99" i="15"/>
  <c r="BV100" i="15"/>
  <c r="BX100" i="15"/>
  <c r="BZ100" i="15"/>
  <c r="O82" i="15"/>
  <c r="Q82" i="15"/>
  <c r="S83" i="15"/>
  <c r="Q81" i="15"/>
  <c r="Q83" i="15"/>
  <c r="M80" i="15"/>
  <c r="Q80" i="15" s="1"/>
  <c r="S82" i="15"/>
  <c r="S81" i="15"/>
  <c r="O83" i="15"/>
  <c r="AL85" i="15"/>
  <c r="AJ85" i="15"/>
  <c r="AH85" i="15"/>
  <c r="BA87" i="15"/>
  <c r="BC93" i="15"/>
  <c r="BE90" i="15"/>
  <c r="BE87" i="15"/>
  <c r="BE92" i="15"/>
  <c r="BA88" i="15"/>
  <c r="BA94" i="15"/>
  <c r="BC87" i="15"/>
  <c r="BC91" i="15"/>
  <c r="BC89" i="15"/>
  <c r="AY85" i="15"/>
  <c r="BE88" i="15"/>
  <c r="BC94" i="15"/>
  <c r="BA86" i="15"/>
  <c r="BA93" i="15"/>
  <c r="BC90" i="15"/>
  <c r="BA90" i="15"/>
  <c r="BA92" i="15"/>
  <c r="BE93" i="15"/>
  <c r="BC92" i="15"/>
  <c r="BE86" i="15"/>
  <c r="BE89" i="15"/>
  <c r="BE94" i="15"/>
  <c r="BA91" i="15"/>
  <c r="BE91" i="15"/>
  <c r="BC88" i="15"/>
  <c r="BC86" i="15"/>
  <c r="BA89" i="15"/>
  <c r="AR19" i="15" a="1"/>
  <c r="AR19" i="15" s="1"/>
  <c r="AH81" i="15"/>
  <c r="AH82" i="15"/>
  <c r="AJ82" i="15"/>
  <c r="AL83" i="15"/>
  <c r="AL82" i="15"/>
  <c r="AJ83" i="15"/>
  <c r="AL81" i="15"/>
  <c r="AH83" i="15"/>
  <c r="AF80" i="15"/>
  <c r="AJ81" i="15"/>
  <c r="W16" i="16" l="1"/>
  <c r="S17" i="16"/>
  <c r="Y46" i="13"/>
  <c r="Y44" i="13"/>
  <c r="Y47" i="13"/>
  <c r="AA49" i="13"/>
  <c r="W47" i="13"/>
  <c r="U43" i="13"/>
  <c r="W49" i="13"/>
  <c r="Y50" i="13"/>
  <c r="W44" i="13"/>
  <c r="W46" i="13"/>
  <c r="AA47" i="13"/>
  <c r="Y49" i="13"/>
  <c r="Y51" i="13"/>
  <c r="AA48" i="13"/>
  <c r="W51" i="13"/>
  <c r="Y45" i="13"/>
  <c r="Y48" i="13"/>
  <c r="AA51" i="13"/>
  <c r="AA44" i="13"/>
  <c r="W45" i="13"/>
  <c r="W50" i="13"/>
  <c r="AA50" i="13"/>
  <c r="W48" i="13"/>
  <c r="AA45" i="13"/>
  <c r="AA46" i="13"/>
  <c r="T70" i="15" a="1"/>
  <c r="H13" i="16"/>
  <c r="L12" i="16"/>
  <c r="BK79" i="15"/>
  <c r="BN79" i="15" s="1"/>
  <c r="BO79" i="15" s="1"/>
  <c r="BN88" i="15"/>
  <c r="BO88" i="15" s="1"/>
  <c r="CM94" i="15" s="1"/>
  <c r="BN80" i="15"/>
  <c r="BO80" i="15" s="1"/>
  <c r="CA86" i="15" s="1"/>
  <c r="BN86" i="15"/>
  <c r="BO86" i="15" s="1"/>
  <c r="CM92" i="15" s="1"/>
  <c r="BN83" i="15"/>
  <c r="BO83" i="15" s="1"/>
  <c r="CM89" i="15" s="1"/>
  <c r="BN81" i="15"/>
  <c r="BO81" i="15" s="1"/>
  <c r="CM87" i="15" s="1"/>
  <c r="BN82" i="15"/>
  <c r="BO82" i="15" s="1"/>
  <c r="CA88" i="15" s="1"/>
  <c r="O80" i="15"/>
  <c r="BN85" i="15"/>
  <c r="BO85" i="15" s="1"/>
  <c r="CM91" i="15" s="1"/>
  <c r="BN87" i="15"/>
  <c r="BO87" i="15" s="1"/>
  <c r="CM93" i="15" s="1"/>
  <c r="CH99" i="15"/>
  <c r="CJ99" i="15"/>
  <c r="CL99" i="15"/>
  <c r="S80" i="15"/>
  <c r="BO84" i="15"/>
  <c r="BC85" i="15"/>
  <c r="BE85" i="15"/>
  <c r="BA85" i="15"/>
  <c r="AY80" i="15" a="1"/>
  <c r="BA83" i="15" s="1"/>
  <c r="BK19" i="15" a="1"/>
  <c r="BK19" i="15" s="1"/>
  <c r="BN19" i="15" s="1"/>
  <c r="AL80" i="15"/>
  <c r="AJ80" i="15"/>
  <c r="AH80" i="15"/>
  <c r="T17" i="16" l="1"/>
  <c r="I11" i="15" a="1"/>
  <c r="W43" i="13"/>
  <c r="Y43" i="13"/>
  <c r="AA43" i="13"/>
  <c r="T70" i="15"/>
  <c r="I13" i="16"/>
  <c r="CA92" i="15"/>
  <c r="CA94" i="15"/>
  <c r="CA89" i="15"/>
  <c r="CM86" i="15"/>
  <c r="BT85" i="15" a="1"/>
  <c r="BZ88" i="15" s="1"/>
  <c r="CM88" i="15"/>
  <c r="CF85" i="15" a="1"/>
  <c r="CH91" i="15" s="1"/>
  <c r="BT90" i="15" a="1"/>
  <c r="BV91" i="15" s="1"/>
  <c r="CA87" i="15"/>
  <c r="CA93" i="15"/>
  <c r="CA91" i="15"/>
  <c r="BE81" i="15"/>
  <c r="BC81" i="15"/>
  <c r="BC82" i="15"/>
  <c r="BE82" i="15"/>
  <c r="BE83" i="15"/>
  <c r="BC83" i="15"/>
  <c r="AY80" i="15"/>
  <c r="BC80" i="15" s="1"/>
  <c r="BA81" i="15"/>
  <c r="CM90" i="15"/>
  <c r="CA90" i="15"/>
  <c r="CA85" i="15"/>
  <c r="CM85" i="15"/>
  <c r="BA82" i="15"/>
  <c r="BN20" i="15"/>
  <c r="BO20" i="15" s="1"/>
  <c r="CM81" i="15" s="1"/>
  <c r="BN21" i="15"/>
  <c r="BO21" i="15" s="1"/>
  <c r="CA82" i="15" s="1"/>
  <c r="BN22" i="15"/>
  <c r="BO22" i="15" s="1"/>
  <c r="CM83" i="15" s="1"/>
  <c r="BO19" i="15"/>
  <c r="V17" i="16" l="1"/>
  <c r="U17" i="16"/>
  <c r="AK39" i="13"/>
  <c r="AM39" i="13" s="1"/>
  <c r="AM70" i="15" a="1"/>
  <c r="I11" i="15"/>
  <c r="M70" i="15" s="1" a="1"/>
  <c r="K13" i="16"/>
  <c r="J13" i="16"/>
  <c r="AK13" i="13" s="1"/>
  <c r="AM13" i="13" s="1"/>
  <c r="BV87" i="15"/>
  <c r="CL91" i="15"/>
  <c r="BX87" i="15"/>
  <c r="BT85" i="15"/>
  <c r="BV85" i="15" s="1"/>
  <c r="BX86" i="15"/>
  <c r="BV88" i="15"/>
  <c r="BV86" i="15"/>
  <c r="BX88" i="15"/>
  <c r="BZ87" i="15"/>
  <c r="BZ86" i="15"/>
  <c r="BT90" i="15"/>
  <c r="BZ90" i="15" s="1"/>
  <c r="BX91" i="15"/>
  <c r="BZ91" i="15"/>
  <c r="CL90" i="15"/>
  <c r="CL87" i="15"/>
  <c r="CH89" i="15"/>
  <c r="CJ94" i="15"/>
  <c r="CH87" i="15"/>
  <c r="CJ93" i="15"/>
  <c r="CH92" i="15"/>
  <c r="CJ91" i="15"/>
  <c r="CL89" i="15"/>
  <c r="CJ92" i="15"/>
  <c r="CL94" i="15"/>
  <c r="CJ90" i="15"/>
  <c r="CL88" i="15"/>
  <c r="CH90" i="15"/>
  <c r="CH94" i="15"/>
  <c r="CJ89" i="15"/>
  <c r="CH93" i="15"/>
  <c r="CH88" i="15"/>
  <c r="CJ88" i="15"/>
  <c r="CL86" i="15"/>
  <c r="CF85" i="15"/>
  <c r="CL85" i="15" s="1"/>
  <c r="CL92" i="15"/>
  <c r="CJ87" i="15"/>
  <c r="CH86" i="15"/>
  <c r="CL93" i="15"/>
  <c r="CJ86" i="15"/>
  <c r="BE80" i="15"/>
  <c r="BA80" i="15"/>
  <c r="CM82" i="15"/>
  <c r="CF80" i="15" a="1"/>
  <c r="CL83" i="15" s="1"/>
  <c r="CA81" i="15"/>
  <c r="BT80" i="15" a="1"/>
  <c r="BZ81" i="15" s="1"/>
  <c r="CA83" i="15"/>
  <c r="CM80" i="15"/>
  <c r="CA80" i="15"/>
  <c r="AK38" i="13" l="1"/>
  <c r="AM38" i="13" s="1"/>
  <c r="AM40" i="13" s="1"/>
  <c r="AL40" i="13" s="1"/>
  <c r="S18" i="16"/>
  <c r="T18" i="16" s="1"/>
  <c r="W17" i="16"/>
  <c r="O78" i="15"/>
  <c r="O75" i="15"/>
  <c r="S75" i="15"/>
  <c r="S78" i="15"/>
  <c r="O72" i="15"/>
  <c r="Q75" i="15"/>
  <c r="O74" i="15"/>
  <c r="Q71" i="15"/>
  <c r="S77" i="15"/>
  <c r="S73" i="15"/>
  <c r="O77" i="15"/>
  <c r="O76" i="15"/>
  <c r="S71" i="15"/>
  <c r="Q78" i="15"/>
  <c r="Q77" i="15"/>
  <c r="Q74" i="15"/>
  <c r="S72" i="15"/>
  <c r="M70" i="15"/>
  <c r="S74" i="15"/>
  <c r="Q73" i="15"/>
  <c r="S76" i="15"/>
  <c r="O71" i="15"/>
  <c r="Q72" i="15"/>
  <c r="O73" i="15"/>
  <c r="Q76" i="15"/>
  <c r="AM70" i="15"/>
  <c r="BF70" i="15" s="1" a="1"/>
  <c r="BF70" i="15" s="1"/>
  <c r="AB11" i="15" a="1"/>
  <c r="H14" i="16"/>
  <c r="L13" i="16"/>
  <c r="BX85" i="15"/>
  <c r="BZ85" i="15"/>
  <c r="BV90" i="15"/>
  <c r="CJ85" i="15"/>
  <c r="BX90" i="15"/>
  <c r="CH85" i="15"/>
  <c r="BX82" i="15"/>
  <c r="BV83" i="15"/>
  <c r="BZ83" i="15"/>
  <c r="BV81" i="15"/>
  <c r="BX83" i="15"/>
  <c r="BZ82" i="15"/>
  <c r="BX81" i="15"/>
  <c r="BT80" i="15"/>
  <c r="BZ80" i="15" s="1"/>
  <c r="BV82" i="15"/>
  <c r="CJ81" i="15"/>
  <c r="CJ82" i="15"/>
  <c r="CL81" i="15"/>
  <c r="CL82" i="15"/>
  <c r="CH82" i="15"/>
  <c r="CH81" i="15"/>
  <c r="CF80" i="15"/>
  <c r="CJ80" i="15" s="1"/>
  <c r="CH83" i="15"/>
  <c r="CJ83" i="15"/>
  <c r="U18" i="16" l="1"/>
  <c r="V18" i="16"/>
  <c r="G266" i="18" s="1" a="1"/>
  <c r="G266" i="18" s="1"/>
  <c r="AB11" i="15"/>
  <c r="AF70" i="15" s="1" a="1"/>
  <c r="AU11" i="15" a="1"/>
  <c r="Q70" i="15"/>
  <c r="O70" i="15"/>
  <c r="S70" i="15"/>
  <c r="I14" i="16"/>
  <c r="CL80" i="15"/>
  <c r="CH80" i="15"/>
  <c r="BV80" i="15"/>
  <c r="BX80" i="15"/>
  <c r="W18" i="16" l="1"/>
  <c r="U19" i="16"/>
  <c r="AN30" i="9" a="1"/>
  <c r="AU11" i="15"/>
  <c r="AY70" i="15" s="1" a="1"/>
  <c r="AJ71" i="15"/>
  <c r="AL75" i="15"/>
  <c r="AF70" i="15"/>
  <c r="AH73" i="15"/>
  <c r="AH75" i="15"/>
  <c r="AH71" i="15"/>
  <c r="AJ77" i="15"/>
  <c r="AL77" i="15"/>
  <c r="AH72" i="15"/>
  <c r="AH74" i="15"/>
  <c r="AL72" i="15"/>
  <c r="AJ72" i="15"/>
  <c r="AL74" i="15"/>
  <c r="AH76" i="15"/>
  <c r="AJ76" i="15"/>
  <c r="AL76" i="15"/>
  <c r="AL73" i="15"/>
  <c r="AH77" i="15"/>
  <c r="AH78" i="15"/>
  <c r="AL78" i="15"/>
  <c r="AJ73" i="15"/>
  <c r="AJ78" i="15"/>
  <c r="AJ75" i="15"/>
  <c r="AL71" i="15"/>
  <c r="AJ74" i="15"/>
  <c r="J14" i="16"/>
  <c r="AK14" i="13"/>
  <c r="AM14" i="13" s="1"/>
  <c r="K14" i="16"/>
  <c r="AP31" i="9" l="1"/>
  <c r="AP39" i="9"/>
  <c r="AP38" i="9"/>
  <c r="AP36" i="9"/>
  <c r="AN30" i="9"/>
  <c r="AP30" i="9" s="1"/>
  <c r="AP34" i="9"/>
  <c r="AP33" i="9"/>
  <c r="AP32" i="9"/>
  <c r="AP37" i="9"/>
  <c r="AP35" i="9"/>
  <c r="BA76" i="15"/>
  <c r="BA71" i="15"/>
  <c r="BC72" i="15"/>
  <c r="BA74" i="15"/>
  <c r="BA77" i="15"/>
  <c r="BE71" i="15"/>
  <c r="BA73" i="15"/>
  <c r="BC77" i="15"/>
  <c r="BE74" i="15"/>
  <c r="BC75" i="15"/>
  <c r="BC71" i="15"/>
  <c r="BE75" i="15"/>
  <c r="BE78" i="15"/>
  <c r="BA72" i="15"/>
  <c r="BA75" i="15"/>
  <c r="AY70" i="15"/>
  <c r="BE77" i="15"/>
  <c r="BC73" i="15"/>
  <c r="BC74" i="15"/>
  <c r="BA78" i="15"/>
  <c r="BE72" i="15"/>
  <c r="BC78" i="15"/>
  <c r="BE73" i="15"/>
  <c r="BC76" i="15"/>
  <c r="BE76" i="15"/>
  <c r="AH70" i="15"/>
  <c r="AL70" i="15"/>
  <c r="AJ70" i="15"/>
  <c r="BK31" i="15" a="1"/>
  <c r="H15" i="16"/>
  <c r="L14" i="16"/>
  <c r="AP40" i="9" l="1"/>
  <c r="AN40" i="9"/>
  <c r="BE70" i="15"/>
  <c r="BC70" i="15"/>
  <c r="BA70" i="15"/>
  <c r="BN35" i="15"/>
  <c r="BO35" i="15" s="1"/>
  <c r="BN32" i="15"/>
  <c r="BO32" i="15" s="1"/>
  <c r="BN34" i="15"/>
  <c r="BN33" i="15"/>
  <c r="BO33" i="15" s="1"/>
  <c r="CM72" i="15" s="1"/>
  <c r="BK31" i="15"/>
  <c r="BN31" i="15" s="1"/>
  <c r="BN39" i="15"/>
  <c r="BO39" i="15" s="1"/>
  <c r="CM78" i="15" s="1"/>
  <c r="BN36" i="15"/>
  <c r="BO36" i="15" s="1"/>
  <c r="CM75" i="15" s="1"/>
  <c r="BN37" i="15"/>
  <c r="BN38" i="15"/>
  <c r="BO38" i="15" s="1"/>
  <c r="CM77" i="15" s="1"/>
  <c r="I15" i="16"/>
  <c r="AO40" i="9" l="1"/>
  <c r="BT76" i="15"/>
  <c r="BO37" i="15"/>
  <c r="CF70" i="15" a="1"/>
  <c r="BT70" i="15" a="1"/>
  <c r="BO31" i="15"/>
  <c r="BO34" i="15"/>
  <c r="BT73" i="15" a="1"/>
  <c r="CA71" i="15"/>
  <c r="CM71" i="15"/>
  <c r="CA74" i="15"/>
  <c r="CM74" i="15"/>
  <c r="J15" i="16"/>
  <c r="K15" i="16"/>
  <c r="AK15" i="13"/>
  <c r="AF14" i="9" l="1"/>
  <c r="AG14" i="9" s="1"/>
  <c r="AI40" i="9"/>
  <c r="AJ40" i="9" s="1"/>
  <c r="AI79" i="9"/>
  <c r="AJ79" i="9" s="1"/>
  <c r="AI53" i="9"/>
  <c r="AJ53" i="9" s="1"/>
  <c r="AI66" i="9"/>
  <c r="AJ66" i="9" s="1"/>
  <c r="AI27" i="9"/>
  <c r="AJ27" i="9" s="1"/>
  <c r="CA73" i="15"/>
  <c r="CM73" i="15"/>
  <c r="BT70" i="15"/>
  <c r="BZ71" i="15"/>
  <c r="BV71" i="15"/>
  <c r="BX71" i="15"/>
  <c r="CM70" i="15"/>
  <c r="CA70" i="15"/>
  <c r="BX74" i="15"/>
  <c r="BT73" i="15"/>
  <c r="BV74" i="15"/>
  <c r="BZ74" i="15"/>
  <c r="CL77" i="15"/>
  <c r="CJ75" i="15"/>
  <c r="CL78" i="15"/>
  <c r="CJ71" i="15"/>
  <c r="CH77" i="15"/>
  <c r="CH71" i="15"/>
  <c r="CL74" i="15"/>
  <c r="CL73" i="15"/>
  <c r="CL76" i="15"/>
  <c r="CJ78" i="15"/>
  <c r="CH74" i="15"/>
  <c r="CJ73" i="15"/>
  <c r="CH73" i="15"/>
  <c r="CJ76" i="15"/>
  <c r="CH76" i="15"/>
  <c r="CJ74" i="15"/>
  <c r="CJ72" i="15"/>
  <c r="CF70" i="15"/>
  <c r="CL72" i="15"/>
  <c r="CJ77" i="15"/>
  <c r="CL75" i="15"/>
  <c r="CH78" i="15"/>
  <c r="CH72" i="15"/>
  <c r="CL71" i="15"/>
  <c r="CH75" i="15"/>
  <c r="CA76" i="15"/>
  <c r="CM76" i="15"/>
  <c r="BX76" i="15"/>
  <c r="BV76" i="15"/>
  <c r="BZ76" i="15"/>
  <c r="AM15" i="13"/>
  <c r="H16" i="16"/>
  <c r="L15" i="16"/>
  <c r="CL70" i="15" l="1"/>
  <c r="CJ70" i="15"/>
  <c r="CH70" i="15"/>
  <c r="BZ70" i="15"/>
  <c r="BV70" i="15"/>
  <c r="BX70" i="15"/>
  <c r="BX73" i="15"/>
  <c r="BZ73" i="15"/>
  <c r="BV73" i="15"/>
  <c r="I16" i="16"/>
  <c r="J16" i="16" l="1"/>
  <c r="K16" i="16"/>
  <c r="AK16" i="13"/>
  <c r="AM16" i="13" l="1"/>
  <c r="H17" i="16"/>
  <c r="L16" i="16"/>
  <c r="I17" i="16" l="1"/>
  <c r="J17" i="16" l="1"/>
  <c r="K17" i="16"/>
  <c r="G255" i="18" s="1" a="1"/>
  <c r="G255" i="18" s="1"/>
  <c r="AK17" i="13"/>
  <c r="AM17" i="13" l="1"/>
  <c r="AM18" i="13" s="1"/>
  <c r="AK18" i="13"/>
  <c r="AN9" i="9" a="1"/>
  <c r="J18" i="16"/>
  <c r="L17" i="16"/>
  <c r="AP11" i="9" l="1"/>
  <c r="AP17" i="9"/>
  <c r="AP16" i="9"/>
  <c r="AP10" i="9"/>
  <c r="AN9" i="9"/>
  <c r="AP9" i="9" s="1"/>
  <c r="AP14" i="9"/>
  <c r="AP13" i="9"/>
  <c r="AP12" i="9"/>
  <c r="AP15" i="9"/>
  <c r="AL18" i="13"/>
  <c r="AP18" i="9" l="1"/>
  <c r="AN18" i="9"/>
  <c r="AO18" i="9" l="1"/>
  <c r="AI25" i="9" l="1"/>
  <c r="AJ25" i="9" s="1"/>
  <c r="AI64" i="9"/>
  <c r="AJ64" i="9" s="1"/>
  <c r="AI38" i="9"/>
  <c r="AJ38" i="9" s="1"/>
  <c r="AI77" i="9"/>
  <c r="AJ77" i="9" s="1"/>
  <c r="AF12" i="9"/>
  <c r="AG12" i="9" s="1"/>
  <c r="AI51" i="9"/>
  <c r="AJ51" i="9" s="1"/>
  <c r="AE17" i="16"/>
  <c r="AF17" i="16" l="1"/>
  <c r="AH17" i="16" s="1"/>
  <c r="AG17" i="16"/>
  <c r="AK17" i="16"/>
  <c r="AK60" i="13"/>
  <c r="AE18" i="16"/>
  <c r="AF18" i="16" s="1"/>
  <c r="AH18" i="16" s="1"/>
  <c r="AK62" i="13" l="1"/>
  <c r="AP60" i="13" a="1"/>
  <c r="AP60" i="13" s="1"/>
  <c r="AQ60" i="13" s="1"/>
  <c r="AM60" i="13"/>
  <c r="AK61" i="13"/>
  <c r="AM61" i="13" s="1"/>
  <c r="AG18" i="16"/>
  <c r="O266" i="18" s="1" a="1"/>
  <c r="O266" i="18" s="1"/>
  <c r="AF19" i="16"/>
  <c r="F6" i="16" s="1"/>
  <c r="AN60" i="9" a="1"/>
  <c r="U69" i="14" a="1"/>
  <c r="AF70" i="14" a="1"/>
  <c r="U69" i="14" l="1"/>
  <c r="W70" i="14"/>
  <c r="AA70" i="14"/>
  <c r="Y70" i="14"/>
  <c r="AM62" i="13"/>
  <c r="AL62" i="13" s="1"/>
  <c r="AS60" i="13"/>
  <c r="AB69" i="13" s="1"/>
  <c r="U69" i="13" a="1"/>
  <c r="AN62" i="9"/>
  <c r="AN60" i="9"/>
  <c r="AP60" i="9" s="1"/>
  <c r="AP61" i="9"/>
  <c r="AF70" i="14"/>
  <c r="AH70" i="14" s="1"/>
  <c r="AB69" i="14" s="1"/>
  <c r="AH71" i="14"/>
  <c r="AB70" i="14" s="1"/>
  <c r="AB85" i="14" l="1"/>
  <c r="T96" i="15" a="1"/>
  <c r="AB85" i="13"/>
  <c r="Y70" i="13"/>
  <c r="W70" i="13"/>
  <c r="U69" i="13"/>
  <c r="F26" i="15" a="1"/>
  <c r="AA70" i="13"/>
  <c r="AK70" i="13"/>
  <c r="AK67" i="13"/>
  <c r="AP62" i="9"/>
  <c r="AO62" i="9" s="1"/>
  <c r="Y69" i="14"/>
  <c r="W69" i="14"/>
  <c r="AA69" i="14"/>
  <c r="F26" i="15" l="1"/>
  <c r="Y26" i="15" s="1" a="1"/>
  <c r="AA69" i="13"/>
  <c r="W69" i="13"/>
  <c r="Y69" i="13"/>
  <c r="AF16" i="9"/>
  <c r="AG16" i="9" s="1"/>
  <c r="AI29" i="9"/>
  <c r="AJ29" i="9" s="1"/>
  <c r="AI55" i="9"/>
  <c r="AJ55" i="9" s="1"/>
  <c r="AI42" i="9"/>
  <c r="AJ42" i="9" s="1"/>
  <c r="AI68" i="9"/>
  <c r="AJ68" i="9" s="1"/>
  <c r="AI81" i="9"/>
  <c r="AJ81" i="9" s="1"/>
  <c r="AH75" i="9" s="1"/>
  <c r="T96" i="15"/>
  <c r="T112" i="15" s="1"/>
  <c r="AM96" i="15" l="1" a="1"/>
  <c r="AM96" i="15" s="1"/>
  <c r="AM112" i="15" s="1"/>
  <c r="AC78" i="9"/>
  <c r="AC74" i="9"/>
  <c r="AC76" i="9"/>
  <c r="M96" i="15" a="1"/>
  <c r="O97" i="15" s="1"/>
  <c r="Y26" i="15"/>
  <c r="AR26" i="15" s="1" a="1"/>
  <c r="AC75" i="9"/>
  <c r="AH76" i="9"/>
  <c r="AJ75" i="9"/>
  <c r="AF78" i="9" l="1"/>
  <c r="AD78" i="9"/>
  <c r="AF76" i="9"/>
  <c r="AD76" i="9"/>
  <c r="AF74" i="9"/>
  <c r="AD74" i="9"/>
  <c r="M96" i="15"/>
  <c r="Q96" i="15" s="1"/>
  <c r="S97" i="15"/>
  <c r="Q97" i="15"/>
  <c r="BF96" i="15" a="1"/>
  <c r="BF96" i="15" s="1"/>
  <c r="BF112" i="15" s="1"/>
  <c r="AF96" i="15" a="1"/>
  <c r="AH97" i="15" s="1"/>
  <c r="AR26" i="15"/>
  <c r="BK26" i="15" a="1"/>
  <c r="AY96" i="15" a="1"/>
  <c r="AC77" i="9"/>
  <c r="AJ76" i="9"/>
  <c r="AD75" i="9"/>
  <c r="AF75" i="9"/>
  <c r="O96" i="15" l="1"/>
  <c r="S96" i="15"/>
  <c r="X11" i="10"/>
  <c r="X11" i="14"/>
  <c r="AL61" i="9"/>
  <c r="AL63" i="9"/>
  <c r="X13" i="10"/>
  <c r="X13" i="14"/>
  <c r="X15" i="10"/>
  <c r="AL65" i="9"/>
  <c r="X15" i="14"/>
  <c r="AF96" i="15"/>
  <c r="AJ96" i="15" s="1"/>
  <c r="AJ97" i="15"/>
  <c r="AL97" i="15"/>
  <c r="X12" i="14"/>
  <c r="X12" i="10"/>
  <c r="AL62" i="9"/>
  <c r="BK26" i="15"/>
  <c r="BN26" i="15" s="1"/>
  <c r="BN27" i="15"/>
  <c r="BO27" i="15" s="1"/>
  <c r="AF77" i="9"/>
  <c r="AD77" i="9"/>
  <c r="Z16" i="9" s="1" a="1"/>
  <c r="BE97" i="15"/>
  <c r="AY96" i="15"/>
  <c r="BA97" i="15"/>
  <c r="BC97" i="15"/>
  <c r="AH96" i="15" l="1"/>
  <c r="AL96" i="15"/>
  <c r="Z16" i="9"/>
  <c r="U11" i="10" s="1" a="1"/>
  <c r="BO26" i="15"/>
  <c r="CM96" i="15" s="1"/>
  <c r="CF96" i="15" a="1"/>
  <c r="X14" i="14"/>
  <c r="X14" i="10"/>
  <c r="X11" i="13" s="1" a="1"/>
  <c r="AL64" i="9"/>
  <c r="AI63" i="9" s="1"/>
  <c r="BE96" i="15"/>
  <c r="BC96" i="15"/>
  <c r="BA96" i="15"/>
  <c r="CA97" i="15"/>
  <c r="CA112" i="15" s="1"/>
  <c r="CM97" i="15"/>
  <c r="U11" i="14" l="1" a="1"/>
  <c r="U11" i="14" s="1"/>
  <c r="AI62" i="9"/>
  <c r="AH62" i="9" s="1"/>
  <c r="X11" i="13"/>
  <c r="P38" i="15" s="1" a="1"/>
  <c r="CM112" i="15"/>
  <c r="CL97" i="15"/>
  <c r="CJ97" i="15"/>
  <c r="CH97" i="15"/>
  <c r="CF96" i="15"/>
  <c r="AA15" i="10"/>
  <c r="AA12" i="10"/>
  <c r="AA14" i="10"/>
  <c r="Y14" i="10"/>
  <c r="AA13" i="10"/>
  <c r="Y15" i="10"/>
  <c r="U11" i="10"/>
  <c r="Y12" i="10"/>
  <c r="Y13" i="10"/>
  <c r="AA15" i="14" l="1"/>
  <c r="AA14" i="14"/>
  <c r="Y12" i="14"/>
  <c r="Y14" i="14"/>
  <c r="Y13" i="14"/>
  <c r="AA12" i="14"/>
  <c r="Y15" i="14"/>
  <c r="AA13" i="14"/>
  <c r="AC63" i="9"/>
  <c r="AC65" i="9"/>
  <c r="AC61" i="9"/>
  <c r="AJ62" i="9"/>
  <c r="AH63" i="9"/>
  <c r="AC62" i="9" s="1"/>
  <c r="AD62" i="9" s="1"/>
  <c r="P38" i="15"/>
  <c r="AI38" i="15" s="1" a="1"/>
  <c r="Y11" i="14"/>
  <c r="U85" i="14"/>
  <c r="AA11" i="14"/>
  <c r="Y11" i="10"/>
  <c r="Y85" i="10" s="1"/>
  <c r="U85" i="10"/>
  <c r="AA11" i="10"/>
  <c r="AA85" i="10" s="1"/>
  <c r="CL96" i="15"/>
  <c r="CJ96" i="15"/>
  <c r="CH96" i="15"/>
  <c r="AA85" i="14" l="1"/>
  <c r="Z85" i="14" s="1"/>
  <c r="G14" i="14" s="1"/>
  <c r="Y85" i="14"/>
  <c r="X85" i="14" s="1"/>
  <c r="G13" i="14" s="1"/>
  <c r="AC64" i="9"/>
  <c r="AD64" i="9" s="1"/>
  <c r="AF62" i="9"/>
  <c r="AL49" i="9" s="1"/>
  <c r="AF61" i="9"/>
  <c r="AL48" i="9" s="1"/>
  <c r="AD61" i="9"/>
  <c r="AJ63" i="9"/>
  <c r="AF65" i="9"/>
  <c r="AL52" i="9" s="1"/>
  <c r="AD65" i="9"/>
  <c r="AF63" i="9"/>
  <c r="AL50" i="9" s="1"/>
  <c r="AD63" i="9"/>
  <c r="X85" i="10"/>
  <c r="G13" i="10" s="1"/>
  <c r="Z85" i="10"/>
  <c r="G14" i="10" s="1"/>
  <c r="AI38" i="15"/>
  <c r="BB38" i="15" s="1" a="1"/>
  <c r="BB38" i="15" s="1"/>
  <c r="G10" i="14"/>
  <c r="M12" i="14"/>
  <c r="G15" i="14" s="1"/>
  <c r="G10" i="10"/>
  <c r="M12" i="10"/>
  <c r="G15" i="10" s="1"/>
  <c r="M18" i="14" l="1"/>
  <c r="M18" i="10"/>
  <c r="O37" i="10" s="1"/>
  <c r="AF64" i="9"/>
  <c r="AL51" i="9" s="1"/>
  <c r="AI50" i="9" s="1"/>
  <c r="AI49" i="9"/>
  <c r="T13" i="12"/>
  <c r="U13" i="12" s="1"/>
  <c r="M13" i="12"/>
  <c r="O13" i="12" s="1"/>
  <c r="K39" i="14"/>
  <c r="M39" i="14"/>
  <c r="L39" i="14"/>
  <c r="H39" i="14"/>
  <c r="N39" i="14"/>
  <c r="J39" i="14"/>
  <c r="O39" i="14"/>
  <c r="P39" i="14"/>
  <c r="G39" i="14"/>
  <c r="I39" i="14"/>
  <c r="P37" i="14"/>
  <c r="L37" i="14"/>
  <c r="M37" i="14"/>
  <c r="O37" i="14"/>
  <c r="I37" i="14"/>
  <c r="K37" i="14"/>
  <c r="M13" i="14"/>
  <c r="J37" i="14"/>
  <c r="H37" i="14"/>
  <c r="N37" i="14"/>
  <c r="M14" i="14"/>
  <c r="L39" i="10"/>
  <c r="M39" i="10"/>
  <c r="K39" i="10"/>
  <c r="H39" i="10"/>
  <c r="I39" i="10"/>
  <c r="O39" i="10"/>
  <c r="G39" i="10"/>
  <c r="P39" i="10"/>
  <c r="J39" i="10"/>
  <c r="N39" i="10"/>
  <c r="I37" i="10"/>
  <c r="H37" i="10"/>
  <c r="N37" i="10"/>
  <c r="P37" i="10"/>
  <c r="J37" i="10"/>
  <c r="K37" i="10"/>
  <c r="M37" i="10"/>
  <c r="L37" i="10" l="1"/>
  <c r="M13" i="10"/>
  <c r="M14" i="10"/>
  <c r="AH49" i="9"/>
  <c r="AH50" i="9" s="1"/>
  <c r="AC49" i="9" s="1"/>
  <c r="AD49" i="9" s="1"/>
  <c r="V13" i="12"/>
  <c r="V21" i="12" s="1"/>
  <c r="AC52" i="9"/>
  <c r="AC48" i="9"/>
  <c r="AC50" i="9"/>
  <c r="N13" i="12"/>
  <c r="O21" i="12" s="1"/>
  <c r="M21" i="12" s="1"/>
  <c r="AJ49" i="9" l="1"/>
  <c r="AC51" i="9"/>
  <c r="AD51" i="9" s="1"/>
  <c r="AF50" i="9"/>
  <c r="AL37" i="9" s="1"/>
  <c r="AD50" i="9"/>
  <c r="AF49" i="9"/>
  <c r="AL36" i="9" s="1"/>
  <c r="AF48" i="9"/>
  <c r="AL35" i="9" s="1"/>
  <c r="AD48" i="9"/>
  <c r="AJ50" i="9"/>
  <c r="AF52" i="9"/>
  <c r="AL39" i="9" s="1"/>
  <c r="AD52" i="9"/>
  <c r="M23" i="12"/>
  <c r="M18" i="12"/>
  <c r="V18" i="12"/>
  <c r="V23" i="12"/>
  <c r="T21" i="12"/>
  <c r="O23" i="12"/>
  <c r="O18" i="12"/>
  <c r="AF51" i="9" l="1"/>
  <c r="AL38" i="9" s="1"/>
  <c r="AI37" i="9" s="1"/>
  <c r="AI36" i="9"/>
  <c r="V19" i="12"/>
  <c r="J13" i="14" s="1"/>
  <c r="J17" i="14"/>
  <c r="J16" i="10"/>
  <c r="M19" i="12"/>
  <c r="J12" i="10" s="1"/>
  <c r="T18" i="12"/>
  <c r="T23" i="12"/>
  <c r="O19" i="12"/>
  <c r="J13" i="10" s="1"/>
  <c r="J17" i="10"/>
  <c r="I304" i="18" l="1" a="1"/>
  <c r="I304" i="18" s="1"/>
  <c r="I300" i="18" a="1"/>
  <c r="I300" i="18" s="1"/>
  <c r="AH36" i="9"/>
  <c r="AH37" i="9" s="1"/>
  <c r="AC38" i="9" s="1"/>
  <c r="AC35" i="9"/>
  <c r="AC39" i="9"/>
  <c r="AC37" i="9"/>
  <c r="J16" i="14"/>
  <c r="I318" i="18" s="1" a="1"/>
  <c r="I318" i="18" s="1"/>
  <c r="T19" i="12"/>
  <c r="J12" i="14" s="1"/>
  <c r="I314" i="18" s="1" a="1"/>
  <c r="I314" i="18" s="1"/>
  <c r="AJ36" i="9" l="1"/>
  <c r="AF37" i="9"/>
  <c r="AL24" i="9" s="1"/>
  <c r="AD37" i="9"/>
  <c r="AF39" i="9"/>
  <c r="AL26" i="9" s="1"/>
  <c r="AD39" i="9"/>
  <c r="AJ37" i="9"/>
  <c r="AC36" i="9"/>
  <c r="AF35" i="9"/>
  <c r="AL22" i="9" s="1"/>
  <c r="AD35" i="9"/>
  <c r="AD38" i="9"/>
  <c r="AF38" i="9"/>
  <c r="AL25" i="9" s="1"/>
  <c r="AD36" i="9" l="1"/>
  <c r="AF36" i="9"/>
  <c r="AL23" i="9" s="1"/>
  <c r="AI24" i="9" s="1"/>
  <c r="AI23" i="9" l="1"/>
  <c r="AH23" i="9" s="1"/>
  <c r="AH24" i="9" s="1"/>
  <c r="AC25" i="9" s="1"/>
  <c r="AC26" i="9"/>
  <c r="AC24" i="9"/>
  <c r="AC22" i="9"/>
  <c r="AJ23" i="9" l="1"/>
  <c r="AJ24" i="9"/>
  <c r="AC23" i="9"/>
  <c r="AF24" i="9"/>
  <c r="AI11" i="9" s="1"/>
  <c r="AD24" i="9"/>
  <c r="AF22" i="9"/>
  <c r="AI9" i="9" s="1"/>
  <c r="AD22" i="9"/>
  <c r="AF26" i="9"/>
  <c r="AI13" i="9" s="1"/>
  <c r="AD26" i="9"/>
  <c r="AD25" i="9"/>
  <c r="AF25" i="9"/>
  <c r="AI12" i="9" s="1"/>
  <c r="AF23" i="9" l="1"/>
  <c r="AI10" i="9" s="1"/>
  <c r="AF11" i="9" s="1"/>
  <c r="AD23" i="9"/>
  <c r="AF10" i="9" l="1"/>
  <c r="AE10" i="9" s="1"/>
  <c r="Z9" i="9" l="1"/>
  <c r="Z11" i="9"/>
  <c r="Z13" i="9"/>
  <c r="AE11" i="9"/>
  <c r="Z12" i="9" s="1"/>
  <c r="AG10" i="9"/>
  <c r="AA12" i="9" l="1"/>
  <c r="AC12" i="9"/>
  <c r="V14" i="10" s="1"/>
  <c r="W14" i="10" s="1"/>
  <c r="AG11" i="9"/>
  <c r="Z10" i="9"/>
  <c r="K281" i="18" s="1" a="1"/>
  <c r="K281" i="18" s="1"/>
  <c r="AC13" i="9"/>
  <c r="AA13" i="9"/>
  <c r="AC11" i="9"/>
  <c r="AA11" i="9"/>
  <c r="AC9" i="9"/>
  <c r="AA9" i="9"/>
  <c r="AE14" i="14" l="1"/>
  <c r="AG14" i="14" s="1"/>
  <c r="AE14" i="13"/>
  <c r="AG14" i="13" s="1"/>
  <c r="AE14" i="10"/>
  <c r="AG14" i="10" s="1"/>
  <c r="V14" i="14"/>
  <c r="W14" i="14" s="1"/>
  <c r="AE11" i="14"/>
  <c r="AG11" i="14" s="1"/>
  <c r="AE11" i="13"/>
  <c r="AG11" i="13" s="1"/>
  <c r="AE11" i="10"/>
  <c r="AG11" i="10" s="1"/>
  <c r="V11" i="10"/>
  <c r="W11" i="10" s="1"/>
  <c r="V11" i="14"/>
  <c r="W11" i="14" s="1"/>
  <c r="AE13" i="14"/>
  <c r="AG13" i="14" s="1"/>
  <c r="AE13" i="13"/>
  <c r="AG13" i="13" s="1"/>
  <c r="V13" i="14"/>
  <c r="W13" i="14" s="1"/>
  <c r="AE13" i="10"/>
  <c r="AG13" i="10" s="1"/>
  <c r="V13" i="10"/>
  <c r="W13" i="10" s="1"/>
  <c r="AC10" i="9"/>
  <c r="AA10" i="9"/>
  <c r="AE15" i="13"/>
  <c r="AG15" i="13" s="1"/>
  <c r="V15" i="10"/>
  <c r="W15" i="10" s="1"/>
  <c r="V15" i="14"/>
  <c r="W15" i="14" s="1"/>
  <c r="AE15" i="14"/>
  <c r="AG15" i="14" s="1"/>
  <c r="AE15" i="10"/>
  <c r="AG15" i="10" s="1"/>
  <c r="AE12" i="14" l="1"/>
  <c r="AG12" i="14" s="1"/>
  <c r="AG17" i="14" s="1"/>
  <c r="AE12" i="13"/>
  <c r="AE12" i="10"/>
  <c r="AG12" i="10" s="1"/>
  <c r="AG17" i="10" s="1"/>
  <c r="P12" i="10" s="1"/>
  <c r="P13" i="10" s="1"/>
  <c r="V12" i="10"/>
  <c r="V12" i="14"/>
  <c r="W12" i="14" s="1"/>
  <c r="W85" i="14" s="1"/>
  <c r="V85" i="14" s="1"/>
  <c r="G11" i="14" s="1"/>
  <c r="G12" i="14" l="1"/>
  <c r="M15" i="14"/>
  <c r="G16" i="14" s="1"/>
  <c r="J10" i="14" s="1"/>
  <c r="I312" i="18" s="1"/>
  <c r="P12" i="14"/>
  <c r="P13" i="14" s="1"/>
  <c r="W12" i="10"/>
  <c r="W85" i="10" s="1"/>
  <c r="V85" i="10" s="1"/>
  <c r="G11" i="10" s="1"/>
  <c r="U11" i="13" a="1"/>
  <c r="AG12" i="13"/>
  <c r="AG17" i="13" s="1"/>
  <c r="M119" i="15" l="1" a="1"/>
  <c r="M119" i="15" s="1"/>
  <c r="AF119" i="15" s="1" a="1"/>
  <c r="M16" i="14"/>
  <c r="M17" i="14" s="1"/>
  <c r="G17" i="14" s="1"/>
  <c r="G12" i="10"/>
  <c r="M15" i="10"/>
  <c r="G16" i="10" s="1"/>
  <c r="K38" i="14"/>
  <c r="K40" i="14" s="1"/>
  <c r="G47" i="14" s="1"/>
  <c r="I47" i="14" s="1"/>
  <c r="L38" i="14"/>
  <c r="L40" i="14" s="1"/>
  <c r="G38" i="14"/>
  <c r="G40" i="14" s="1"/>
  <c r="I38" i="14"/>
  <c r="I40" i="14" s="1"/>
  <c r="G45" i="14" s="1"/>
  <c r="I45" i="14" s="1"/>
  <c r="P14" i="14"/>
  <c r="H38" i="14"/>
  <c r="H40" i="14" s="1"/>
  <c r="G44" i="14" s="1"/>
  <c r="I44" i="14" s="1"/>
  <c r="J38" i="14"/>
  <c r="J40" i="14" s="1"/>
  <c r="G46" i="14" s="1"/>
  <c r="I46" i="14" s="1"/>
  <c r="N38" i="14"/>
  <c r="N40" i="14" s="1"/>
  <c r="G50" i="14" s="1"/>
  <c r="I50" i="14" s="1"/>
  <c r="P38" i="14"/>
  <c r="P40" i="14" s="1"/>
  <c r="G52" i="14" s="1"/>
  <c r="I52" i="14" s="1"/>
  <c r="M38" i="14"/>
  <c r="M40" i="14" s="1"/>
  <c r="G49" i="14" s="1"/>
  <c r="I49" i="14" s="1"/>
  <c r="O38" i="14"/>
  <c r="O40" i="14" s="1"/>
  <c r="G51" i="14" s="1"/>
  <c r="I51" i="14" s="1"/>
  <c r="W14" i="13"/>
  <c r="Y15" i="13"/>
  <c r="N38" i="15" a="1"/>
  <c r="N38" i="15" s="1"/>
  <c r="AG38" i="15" s="1" a="1"/>
  <c r="AG38" i="15" s="1"/>
  <c r="AZ38" i="15" s="1" a="1"/>
  <c r="AZ38" i="15" s="1"/>
  <c r="Y13" i="13"/>
  <c r="Y12" i="13"/>
  <c r="AA13" i="13"/>
  <c r="W12" i="13"/>
  <c r="U11" i="13"/>
  <c r="AA15" i="13"/>
  <c r="AA12" i="13"/>
  <c r="W13" i="13"/>
  <c r="W15" i="13"/>
  <c r="AA14" i="13"/>
  <c r="Y14" i="13"/>
  <c r="O125" i="15" l="1"/>
  <c r="P15" i="14"/>
  <c r="G18" i="14" s="1"/>
  <c r="F312" i="18" s="1" a="1"/>
  <c r="F312" i="18" s="1"/>
  <c r="G43" i="14"/>
  <c r="I43" i="14" s="1"/>
  <c r="G25" i="14" a="1"/>
  <c r="G25" i="14" s="1"/>
  <c r="G24" i="14"/>
  <c r="G48" i="14"/>
  <c r="I48" i="14" s="1"/>
  <c r="G55" i="14" s="1"/>
  <c r="M16" i="10"/>
  <c r="M17" i="10" s="1"/>
  <c r="G17" i="10" s="1"/>
  <c r="J10" i="10"/>
  <c r="I298" i="18" s="1"/>
  <c r="M38" i="10"/>
  <c r="M40" i="10" s="1"/>
  <c r="G49" i="10" s="1"/>
  <c r="I49" i="10" s="1"/>
  <c r="N38" i="10"/>
  <c r="N40" i="10" s="1"/>
  <c r="G50" i="10" s="1"/>
  <c r="I50" i="10" s="1"/>
  <c r="H38" i="10"/>
  <c r="H40" i="10" s="1"/>
  <c r="G44" i="10" s="1"/>
  <c r="I44" i="10" s="1"/>
  <c r="O38" i="10"/>
  <c r="O40" i="10" s="1"/>
  <c r="G51" i="10" s="1"/>
  <c r="I51" i="10" s="1"/>
  <c r="P38" i="10"/>
  <c r="P40" i="10" s="1"/>
  <c r="G52" i="10" s="1"/>
  <c r="I52" i="10" s="1"/>
  <c r="P14" i="10"/>
  <c r="J38" i="10"/>
  <c r="J40" i="10" s="1"/>
  <c r="G46" i="10" s="1"/>
  <c r="I46" i="10" s="1"/>
  <c r="L38" i="10"/>
  <c r="L40" i="10" s="1"/>
  <c r="G38" i="10"/>
  <c r="G40" i="10" s="1"/>
  <c r="K38" i="10"/>
  <c r="K40" i="10" s="1"/>
  <c r="G47" i="10" s="1"/>
  <c r="I47" i="10" s="1"/>
  <c r="I38" i="10"/>
  <c r="I40" i="10" s="1"/>
  <c r="G45" i="10" s="1"/>
  <c r="I45" i="10" s="1"/>
  <c r="AF119" i="15"/>
  <c r="AY119" i="15" s="1" a="1"/>
  <c r="AH125" i="15"/>
  <c r="F11" i="15" a="1"/>
  <c r="F11" i="15" s="1"/>
  <c r="M38" i="15" s="1" a="1"/>
  <c r="O41" i="15" s="1"/>
  <c r="W11" i="13"/>
  <c r="W85" i="13" s="1"/>
  <c r="AA11" i="13"/>
  <c r="AA85" i="13" s="1"/>
  <c r="U85" i="13"/>
  <c r="Y11" i="13"/>
  <c r="Y85" i="13" s="1"/>
  <c r="X85" i="13" l="1"/>
  <c r="G13" i="13" s="1"/>
  <c r="G25" i="10" a="1"/>
  <c r="G25" i="10" s="1"/>
  <c r="G43" i="10"/>
  <c r="I43" i="10" s="1"/>
  <c r="G24" i="10"/>
  <c r="G48" i="10"/>
  <c r="I48" i="10" s="1"/>
  <c r="G55" i="10" s="1"/>
  <c r="P15" i="10"/>
  <c r="G18" i="10" s="1"/>
  <c r="F298" i="18" s="1" a="1"/>
  <c r="F298" i="18" s="1"/>
  <c r="S41" i="15"/>
  <c r="O42" i="15"/>
  <c r="Q42" i="15"/>
  <c r="O39" i="15"/>
  <c r="Y11" i="15" a="1"/>
  <c r="Y11" i="15" s="1"/>
  <c r="AF38" i="15" s="1" a="1"/>
  <c r="AJ39" i="15" s="1"/>
  <c r="G54" i="14"/>
  <c r="G56" i="14"/>
  <c r="S40" i="15"/>
  <c r="O40" i="15"/>
  <c r="Q40" i="15"/>
  <c r="M38" i="15"/>
  <c r="S38" i="15" s="1"/>
  <c r="Q41" i="15"/>
  <c r="Z85" i="13"/>
  <c r="G14" i="13" s="1"/>
  <c r="V85" i="13"/>
  <c r="G11" i="13" s="1"/>
  <c r="G10" i="13"/>
  <c r="G15" i="13"/>
  <c r="M12" i="13"/>
  <c r="S42" i="15"/>
  <c r="S39" i="15"/>
  <c r="Q39" i="15"/>
  <c r="BA125" i="15"/>
  <c r="AY119" i="15"/>
  <c r="BT119" i="15" s="1" a="1"/>
  <c r="AR11" i="15" l="1" a="1"/>
  <c r="AR11" i="15" s="1"/>
  <c r="AY38" i="15" s="1" a="1"/>
  <c r="BE42" i="15" s="1"/>
  <c r="AL41" i="15"/>
  <c r="AH42" i="15"/>
  <c r="AL42" i="15"/>
  <c r="AJ42" i="15"/>
  <c r="O38" i="15"/>
  <c r="O112" i="15" s="1"/>
  <c r="AL40" i="15"/>
  <c r="AH41" i="15"/>
  <c r="Q38" i="15"/>
  <c r="Q112" i="15" s="1"/>
  <c r="M112" i="15"/>
  <c r="M10" i="15" s="1"/>
  <c r="S112" i="15"/>
  <c r="AJ40" i="15"/>
  <c r="AF38" i="15"/>
  <c r="AH38" i="15" s="1"/>
  <c r="AL39" i="15"/>
  <c r="G26" i="14" a="1"/>
  <c r="G26" i="14" s="1"/>
  <c r="L314" i="18" s="1" a="1"/>
  <c r="L314" i="18" s="1"/>
  <c r="G54" i="10"/>
  <c r="G56" i="10"/>
  <c r="AH40" i="15"/>
  <c r="AH39" i="15"/>
  <c r="AJ41" i="15"/>
  <c r="G12" i="13"/>
  <c r="I38" i="13" s="1"/>
  <c r="P12" i="13"/>
  <c r="P13" i="13" s="1"/>
  <c r="M18" i="13"/>
  <c r="BV125" i="15"/>
  <c r="BT119" i="15"/>
  <c r="CF119" i="15" s="1" a="1"/>
  <c r="H39" i="13"/>
  <c r="L39" i="13"/>
  <c r="J39" i="13"/>
  <c r="P39" i="13"/>
  <c r="K39" i="13"/>
  <c r="O39" i="13"/>
  <c r="N39" i="13"/>
  <c r="G39" i="13"/>
  <c r="M39" i="13"/>
  <c r="I39" i="13"/>
  <c r="BC42" i="15" l="1"/>
  <c r="BC39" i="15"/>
  <c r="BA41" i="15"/>
  <c r="BC41" i="15"/>
  <c r="BE41" i="15"/>
  <c r="BC40" i="15"/>
  <c r="BA40" i="15"/>
  <c r="BK11" i="15" a="1"/>
  <c r="BK11" i="15" s="1"/>
  <c r="BE40" i="15"/>
  <c r="BA42" i="15"/>
  <c r="BA39" i="15"/>
  <c r="BE39" i="15"/>
  <c r="AY38" i="15"/>
  <c r="BE38" i="15" s="1"/>
  <c r="AF112" i="15"/>
  <c r="AL38" i="15"/>
  <c r="AL112" i="15" s="1"/>
  <c r="AJ38" i="15"/>
  <c r="AJ112" i="15" s="1"/>
  <c r="J38" i="13"/>
  <c r="P38" i="13"/>
  <c r="N112" i="15"/>
  <c r="M11" i="15" s="1"/>
  <c r="P112" i="15"/>
  <c r="M13" i="15" s="1"/>
  <c r="AH112" i="15"/>
  <c r="I71" i="15"/>
  <c r="I72" i="15" s="1"/>
  <c r="F71" i="15"/>
  <c r="M15" i="15" s="1"/>
  <c r="R112" i="15"/>
  <c r="M14" i="15" s="1"/>
  <c r="H130" i="15" s="1"/>
  <c r="K38" i="13"/>
  <c r="O38" i="13"/>
  <c r="H38" i="13"/>
  <c r="M38" i="13"/>
  <c r="G38" i="13"/>
  <c r="G40" i="13" s="1"/>
  <c r="N38" i="13"/>
  <c r="G26" i="10" a="1"/>
  <c r="G26" i="10" s="1"/>
  <c r="L300" i="18" s="1" a="1"/>
  <c r="L300" i="18" s="1"/>
  <c r="L38" i="13"/>
  <c r="N37" i="13"/>
  <c r="I37" i="13"/>
  <c r="I40" i="13" s="1"/>
  <c r="G45" i="13" s="1"/>
  <c r="I45" i="13" s="1"/>
  <c r="P37" i="13"/>
  <c r="O37" i="13"/>
  <c r="M14" i="13"/>
  <c r="M15" i="13" s="1"/>
  <c r="G16" i="13" s="1"/>
  <c r="H37" i="13"/>
  <c r="J37" i="13"/>
  <c r="M37" i="13"/>
  <c r="M13" i="13"/>
  <c r="P14" i="13" s="1"/>
  <c r="AL66" i="13"/>
  <c r="AN67" i="13" s="1"/>
  <c r="AN68" i="13" s="1"/>
  <c r="AN69" i="13" s="1"/>
  <c r="AL67" i="13" s="1"/>
  <c r="AL68" i="13" s="1"/>
  <c r="L37" i="13"/>
  <c r="K37" i="13"/>
  <c r="CH125" i="15"/>
  <c r="CF119" i="15"/>
  <c r="F77" i="15"/>
  <c r="AY112" i="15" l="1"/>
  <c r="AU71" i="15" s="1"/>
  <c r="AU72" i="15" s="1"/>
  <c r="BA38" i="15"/>
  <c r="J40" i="13"/>
  <c r="G46" i="13" s="1"/>
  <c r="I46" i="13" s="1"/>
  <c r="AG112" i="15"/>
  <c r="AF11" i="15" s="1"/>
  <c r="BE112" i="15"/>
  <c r="BA112" i="15"/>
  <c r="BC38" i="15"/>
  <c r="BC112" i="15" s="1"/>
  <c r="AK112" i="15"/>
  <c r="AF14" i="15" s="1"/>
  <c r="AB71" i="15"/>
  <c r="AB72" i="15" s="1"/>
  <c r="Y71" i="15"/>
  <c r="AF15" i="15" s="1"/>
  <c r="AF10" i="15"/>
  <c r="Y77" i="15" s="1"/>
  <c r="AI112" i="15"/>
  <c r="AF13" i="15" s="1"/>
  <c r="P40" i="13"/>
  <c r="G52" i="13" s="1"/>
  <c r="I52" i="13" s="1"/>
  <c r="N130" i="15"/>
  <c r="M12" i="15"/>
  <c r="G129" i="15" s="1"/>
  <c r="L130" i="15"/>
  <c r="F130" i="15"/>
  <c r="M130" i="15"/>
  <c r="J130" i="15"/>
  <c r="O130" i="15"/>
  <c r="I130" i="15"/>
  <c r="K130" i="15"/>
  <c r="K40" i="13"/>
  <c r="G47" i="13" s="1"/>
  <c r="I47" i="13" s="1"/>
  <c r="G130" i="15"/>
  <c r="L40" i="13"/>
  <c r="G24" i="13" s="1"/>
  <c r="O40" i="13"/>
  <c r="G51" i="13" s="1"/>
  <c r="I51" i="13" s="1"/>
  <c r="M40" i="13"/>
  <c r="G49" i="13" s="1"/>
  <c r="I49" i="13" s="1"/>
  <c r="H40" i="13"/>
  <c r="G44" i="13" s="1"/>
  <c r="I44" i="13" s="1"/>
  <c r="AI73" i="13"/>
  <c r="J14" i="13" s="1"/>
  <c r="J18" i="13" s="1"/>
  <c r="N40" i="13"/>
  <c r="G50" i="13" s="1"/>
  <c r="I50" i="13" s="1"/>
  <c r="AL71" i="13"/>
  <c r="AL70" i="13" s="1"/>
  <c r="AE67" i="13" s="1"/>
  <c r="AE68" i="13"/>
  <c r="AF68" i="13" s="1"/>
  <c r="AH69" i="13" s="1"/>
  <c r="G43" i="13"/>
  <c r="I43" i="13" s="1"/>
  <c r="M16" i="13"/>
  <c r="M17" i="13" s="1"/>
  <c r="J10" i="13"/>
  <c r="AL69" i="13"/>
  <c r="H128" i="15"/>
  <c r="O128" i="15"/>
  <c r="K128" i="15"/>
  <c r="G128" i="15"/>
  <c r="I128" i="15"/>
  <c r="F72" i="15"/>
  <c r="N128" i="15"/>
  <c r="F107" i="15"/>
  <c r="G107" i="15" s="1"/>
  <c r="M128" i="15"/>
  <c r="J128" i="15"/>
  <c r="F119" i="15"/>
  <c r="F73" i="15"/>
  <c r="F74" i="15" s="1"/>
  <c r="M16" i="15" s="1"/>
  <c r="F121" i="15"/>
  <c r="F120" i="15"/>
  <c r="L128" i="15"/>
  <c r="J112" i="15"/>
  <c r="P14" i="15" s="1"/>
  <c r="P18" i="15" s="1"/>
  <c r="AR71" i="15"/>
  <c r="AY15" i="15" s="1"/>
  <c r="BB112" i="15" l="1"/>
  <c r="AY13" i="15" s="1"/>
  <c r="AZ112" i="15"/>
  <c r="AY11" i="15" s="1"/>
  <c r="AY12" i="15" s="1"/>
  <c r="AY10" i="15"/>
  <c r="AR77" i="15" s="1"/>
  <c r="BD112" i="15"/>
  <c r="AY14" i="15" s="1"/>
  <c r="AF12" i="15"/>
  <c r="AF129" i="15" s="1"/>
  <c r="BT38" i="15" a="1"/>
  <c r="BZ112" i="15" s="1"/>
  <c r="CF134" i="15"/>
  <c r="J129" i="15"/>
  <c r="J131" i="15" s="1"/>
  <c r="F138" i="15" s="1"/>
  <c r="H138" i="15" s="1"/>
  <c r="I129" i="15"/>
  <c r="I131" i="15" s="1"/>
  <c r="F137" i="15" s="1"/>
  <c r="H137" i="15" s="1"/>
  <c r="K129" i="15"/>
  <c r="K131" i="15" s="1"/>
  <c r="Y129" i="15"/>
  <c r="O129" i="15"/>
  <c r="O131" i="15" s="1"/>
  <c r="F143" i="15" s="1"/>
  <c r="H143" i="15" s="1"/>
  <c r="AR129" i="15"/>
  <c r="H129" i="15"/>
  <c r="H131" i="15" s="1"/>
  <c r="F136" i="15" s="1"/>
  <c r="H136" i="15" s="1"/>
  <c r="BK131" i="15"/>
  <c r="F129" i="15"/>
  <c r="F131" i="15" s="1"/>
  <c r="F134" i="15" s="1"/>
  <c r="H134" i="15" s="1"/>
  <c r="L129" i="15"/>
  <c r="L131" i="15" s="1"/>
  <c r="F140" i="15" s="1"/>
  <c r="H140" i="15" s="1"/>
  <c r="N129" i="15"/>
  <c r="N131" i="15" s="1"/>
  <c r="F142" i="15" s="1"/>
  <c r="H142" i="15" s="1"/>
  <c r="M129" i="15"/>
  <c r="M131" i="15" s="1"/>
  <c r="F141" i="15" s="1"/>
  <c r="H141" i="15" s="1"/>
  <c r="I73" i="15"/>
  <c r="AH68" i="13"/>
  <c r="G48" i="13"/>
  <c r="I48" i="13" s="1"/>
  <c r="G55" i="13" s="1"/>
  <c r="G25" i="13" a="1"/>
  <c r="G25" i="13" s="1"/>
  <c r="G17" i="13"/>
  <c r="P15" i="13"/>
  <c r="G18" i="13" s="1"/>
  <c r="I107" i="15"/>
  <c r="I108" i="15"/>
  <c r="AG130" i="15"/>
  <c r="Z130" i="15"/>
  <c r="AD130" i="15"/>
  <c r="AH130" i="15"/>
  <c r="AC130" i="15"/>
  <c r="AE130" i="15"/>
  <c r="AF130" i="15"/>
  <c r="AB130" i="15"/>
  <c r="Y130" i="15"/>
  <c r="AA130" i="15"/>
  <c r="P10" i="15"/>
  <c r="F75" i="15"/>
  <c r="F76" i="15" s="1"/>
  <c r="M17" i="15" s="1"/>
  <c r="Y119" i="15"/>
  <c r="AF128" i="15"/>
  <c r="AC128" i="15"/>
  <c r="AE128" i="15"/>
  <c r="AA128" i="15"/>
  <c r="AD128" i="15"/>
  <c r="Y72" i="15"/>
  <c r="AH128" i="15"/>
  <c r="Y121" i="15"/>
  <c r="AC112" i="15"/>
  <c r="AI14" i="15" s="1"/>
  <c r="AI18" i="15" s="1"/>
  <c r="AB128" i="15"/>
  <c r="Z128" i="15"/>
  <c r="Y120" i="15"/>
  <c r="AG128" i="15"/>
  <c r="Y73" i="15"/>
  <c r="Y74" i="15" s="1"/>
  <c r="AF16" i="15" s="1"/>
  <c r="Y107" i="15"/>
  <c r="Z107" i="15" s="1"/>
  <c r="G131" i="15"/>
  <c r="F135" i="15" s="1"/>
  <c r="H135" i="15" s="1"/>
  <c r="AF67" i="13"/>
  <c r="AG67" i="13"/>
  <c r="F106" i="15"/>
  <c r="AB129" i="15" l="1"/>
  <c r="AG129" i="15"/>
  <c r="Z129" i="15"/>
  <c r="Z131" i="15" s="1"/>
  <c r="Y135" i="15" s="1"/>
  <c r="AA135" i="15" s="1"/>
  <c r="AB73" i="15"/>
  <c r="AD129" i="15"/>
  <c r="AD131" i="15" s="1"/>
  <c r="Y139" i="15" s="1"/>
  <c r="AA139" i="15" s="1"/>
  <c r="AH129" i="15"/>
  <c r="AH131" i="15" s="1"/>
  <c r="Y143" i="15" s="1"/>
  <c r="AA143" i="15" s="1"/>
  <c r="AE129" i="15"/>
  <c r="AE131" i="15" s="1"/>
  <c r="Y140" i="15" s="1"/>
  <c r="AA140" i="15" s="1"/>
  <c r="AA129" i="15"/>
  <c r="AA131" i="15" s="1"/>
  <c r="Y136" i="15" s="1"/>
  <c r="AA136" i="15" s="1"/>
  <c r="AC129" i="15"/>
  <c r="AC131" i="15" s="1"/>
  <c r="Y138" i="15" s="1"/>
  <c r="AA138" i="15" s="1"/>
  <c r="BT38" i="15"/>
  <c r="CF38" i="15" s="1" a="1"/>
  <c r="Y131" i="15"/>
  <c r="Y134" i="15" s="1"/>
  <c r="AA134" i="15" s="1"/>
  <c r="BX112" i="15"/>
  <c r="CK38" i="15" a="1"/>
  <c r="CK38" i="15" s="1"/>
  <c r="BV112" i="15"/>
  <c r="CI38" i="15" a="1"/>
  <c r="CI38" i="15" s="1"/>
  <c r="G54" i="13"/>
  <c r="G56" i="13"/>
  <c r="AG131" i="15"/>
  <c r="Y142" i="15" s="1"/>
  <c r="AA142" i="15" s="1"/>
  <c r="AF131" i="15"/>
  <c r="Y141" i="15" s="1"/>
  <c r="AA141" i="15" s="1"/>
  <c r="Y106" i="15"/>
  <c r="G106" i="15"/>
  <c r="H106" i="15"/>
  <c r="AB108" i="15"/>
  <c r="AB107" i="15"/>
  <c r="M24" i="15"/>
  <c r="F139" i="15"/>
  <c r="H139" i="15" s="1"/>
  <c r="F146" i="15" s="1"/>
  <c r="Y75" i="15"/>
  <c r="Y76" i="15" s="1"/>
  <c r="AF17" i="15" s="1"/>
  <c r="AI10" i="15"/>
  <c r="AR72" i="15"/>
  <c r="AU73" i="15" s="1"/>
  <c r="AU128" i="15"/>
  <c r="AR121" i="15"/>
  <c r="AW128" i="15"/>
  <c r="AX128" i="15"/>
  <c r="AY128" i="15"/>
  <c r="AS128" i="15"/>
  <c r="AR107" i="15"/>
  <c r="AS107" i="15" s="1"/>
  <c r="AZ128" i="15"/>
  <c r="AR119" i="15"/>
  <c r="AR120" i="15"/>
  <c r="BA128" i="15"/>
  <c r="AT128" i="15"/>
  <c r="AV128" i="15"/>
  <c r="AR73" i="15"/>
  <c r="AR74" i="15" s="1"/>
  <c r="AY16" i="15" s="1"/>
  <c r="AV112" i="15"/>
  <c r="BB14" i="15" s="1"/>
  <c r="BB18" i="15" s="1"/>
  <c r="M25" i="15" a="1"/>
  <c r="M25" i="15" s="1"/>
  <c r="AG75" i="13"/>
  <c r="AE75" i="13" s="1"/>
  <c r="AB131" i="15"/>
  <c r="Y137" i="15" s="1"/>
  <c r="AA137" i="15" s="1"/>
  <c r="AS129" i="15"/>
  <c r="AX129" i="15"/>
  <c r="AU129" i="15"/>
  <c r="AT129" i="15"/>
  <c r="AW129" i="15"/>
  <c r="AV129" i="15"/>
  <c r="AZ129" i="15"/>
  <c r="BA129" i="15"/>
  <c r="AY129" i="15"/>
  <c r="AS130" i="15"/>
  <c r="BA130" i="15"/>
  <c r="AU130" i="15"/>
  <c r="AY130" i="15"/>
  <c r="AW130" i="15"/>
  <c r="AT130" i="15"/>
  <c r="AZ130" i="15"/>
  <c r="AR130" i="15"/>
  <c r="AR131" i="15" s="1"/>
  <c r="AX130" i="15"/>
  <c r="AV130" i="15"/>
  <c r="I74" i="15"/>
  <c r="M18" i="15" s="1"/>
  <c r="BT112" i="15" l="1"/>
  <c r="BY112" i="15" s="1"/>
  <c r="BT132" i="15" s="1"/>
  <c r="G26" i="13" a="1"/>
  <c r="G26" i="13" s="1"/>
  <c r="S13" i="15" s="1" a="1"/>
  <c r="S13" i="15" s="1"/>
  <c r="Y146" i="15"/>
  <c r="AF24" i="15"/>
  <c r="AR106" i="15"/>
  <c r="AT106" i="15" s="1"/>
  <c r="AT131" i="15"/>
  <c r="AR136" i="15" s="1"/>
  <c r="AT136" i="15" s="1"/>
  <c r="AX131" i="15"/>
  <c r="AR140" i="15" s="1"/>
  <c r="AT140" i="15" s="1"/>
  <c r="BA131" i="15"/>
  <c r="AR143" i="15" s="1"/>
  <c r="AT143" i="15" s="1"/>
  <c r="AY131" i="15"/>
  <c r="AR141" i="15" s="1"/>
  <c r="AT141" i="15" s="1"/>
  <c r="Y145" i="15"/>
  <c r="Y147" i="15"/>
  <c r="AW131" i="15"/>
  <c r="AE77" i="13"/>
  <c r="AE72" i="13"/>
  <c r="AG77" i="13"/>
  <c r="AG72" i="13"/>
  <c r="AR134" i="15"/>
  <c r="AT134" i="15" s="1"/>
  <c r="CL42" i="15"/>
  <c r="CJ40" i="15"/>
  <c r="CH42" i="15"/>
  <c r="CH41" i="15"/>
  <c r="CL41" i="15"/>
  <c r="CL39" i="15"/>
  <c r="CF38" i="15"/>
  <c r="CJ42" i="15"/>
  <c r="CJ41" i="15"/>
  <c r="CJ39" i="15"/>
  <c r="CH39" i="15"/>
  <c r="CL40" i="15"/>
  <c r="CH40" i="15"/>
  <c r="AZ131" i="15"/>
  <c r="AR142" i="15" s="1"/>
  <c r="AT142" i="15" s="1"/>
  <c r="AU131" i="15"/>
  <c r="AR137" i="15" s="1"/>
  <c r="AT137" i="15" s="1"/>
  <c r="F145" i="15"/>
  <c r="H114" i="15"/>
  <c r="F114" i="15" s="1"/>
  <c r="BB10" i="15"/>
  <c r="AR75" i="15"/>
  <c r="AR76" i="15" s="1"/>
  <c r="AY17" i="15" s="1"/>
  <c r="AU108" i="15"/>
  <c r="AU107" i="15"/>
  <c r="F147" i="15"/>
  <c r="AB74" i="15"/>
  <c r="AF18" i="15" s="1"/>
  <c r="AF25" i="15" a="1"/>
  <c r="AF25" i="15" s="1"/>
  <c r="AV131" i="15"/>
  <c r="AR138" i="15" s="1"/>
  <c r="AT138" i="15" s="1"/>
  <c r="AS131" i="15"/>
  <c r="AR135" i="15" s="1"/>
  <c r="AT135" i="15" s="1"/>
  <c r="Z106" i="15"/>
  <c r="AA106" i="15"/>
  <c r="BN98" i="15" l="1"/>
  <c r="BN99" i="15" s="1"/>
  <c r="BK98" i="15"/>
  <c r="BT15" i="15" s="1"/>
  <c r="BK104" i="15"/>
  <c r="BM130" i="15" s="1"/>
  <c r="BQ132" i="15"/>
  <c r="BN132" i="15"/>
  <c r="BT10" i="15"/>
  <c r="BL132" i="15"/>
  <c r="BT14" i="15"/>
  <c r="BM132" i="15"/>
  <c r="BR132" i="15"/>
  <c r="BP132" i="15"/>
  <c r="BU112" i="15"/>
  <c r="BT11" i="15" s="1"/>
  <c r="BK132" i="15"/>
  <c r="BK133" i="15" s="1"/>
  <c r="BK136" i="15" s="1"/>
  <c r="BM136" i="15" s="1"/>
  <c r="BO132" i="15"/>
  <c r="BW112" i="15"/>
  <c r="BT13" i="15" s="1"/>
  <c r="BS132" i="15"/>
  <c r="AU74" i="15"/>
  <c r="AY18" i="15" s="1"/>
  <c r="AS106" i="15"/>
  <c r="AT114" i="15" s="1"/>
  <c r="AR114" i="15" s="1"/>
  <c r="M26" i="15" a="1"/>
  <c r="M26" i="15" s="1"/>
  <c r="BE13" i="15" s="1" a="1"/>
  <c r="BE13" i="15" s="1"/>
  <c r="BX11" i="15" s="1" a="1"/>
  <c r="BX11" i="15" s="1"/>
  <c r="AY25" i="15" a="1"/>
  <c r="AY25" i="15" s="1"/>
  <c r="AY24" i="15"/>
  <c r="AR139" i="15"/>
  <c r="AT139" i="15" s="1"/>
  <c r="AR146" i="15" s="1"/>
  <c r="AF26" i="15" a="1"/>
  <c r="AF26" i="15" s="1"/>
  <c r="AM13" i="15" s="1" a="1"/>
  <c r="J17" i="13"/>
  <c r="AG73" i="13"/>
  <c r="J13" i="13" s="1"/>
  <c r="J16" i="13"/>
  <c r="AE73" i="13"/>
  <c r="J12" i="13" s="1"/>
  <c r="H116" i="15"/>
  <c r="H111" i="15"/>
  <c r="CJ38" i="15"/>
  <c r="CJ112" i="15" s="1"/>
  <c r="CF112" i="15"/>
  <c r="CL38" i="15"/>
  <c r="CL112" i="15" s="1"/>
  <c r="CH38" i="15"/>
  <c r="CH112" i="15" s="1"/>
  <c r="AA114" i="15"/>
  <c r="F116" i="15"/>
  <c r="F111" i="15"/>
  <c r="BT12" i="15" l="1"/>
  <c r="BR131" i="15" s="1"/>
  <c r="BL130" i="15"/>
  <c r="BP130" i="15"/>
  <c r="BO130" i="15"/>
  <c r="BT130" i="15"/>
  <c r="BK100" i="15"/>
  <c r="BK101" i="15" s="1"/>
  <c r="BT16" i="15" s="1"/>
  <c r="BT20" i="15" s="1"/>
  <c r="BN130" i="15"/>
  <c r="BK99" i="15"/>
  <c r="BN100" i="15" s="1"/>
  <c r="BS130" i="15"/>
  <c r="BQ130" i="15"/>
  <c r="BR130" i="15"/>
  <c r="BR133" i="15" s="1"/>
  <c r="BK143" i="15" s="1"/>
  <c r="BM143" i="15" s="1"/>
  <c r="BP131" i="15"/>
  <c r="BO131" i="15"/>
  <c r="BN131" i="15"/>
  <c r="BT131" i="15"/>
  <c r="BS131" i="15"/>
  <c r="BQ131" i="15"/>
  <c r="BL131" i="15"/>
  <c r="BM131" i="15"/>
  <c r="BM133" i="15" s="1"/>
  <c r="BK138" i="15" s="1"/>
  <c r="BM138" i="15" s="1"/>
  <c r="T13" i="15" a="1"/>
  <c r="U16" i="15" s="1"/>
  <c r="CL13" i="15" a="1"/>
  <c r="CL13" i="15" s="1"/>
  <c r="AR147" i="15"/>
  <c r="AR145" i="15"/>
  <c r="CI112" i="15"/>
  <c r="CF13" i="15" s="1"/>
  <c r="AM13" i="15"/>
  <c r="CQ108" i="15"/>
  <c r="CF10" i="15"/>
  <c r="CQ102" i="15"/>
  <c r="CF15" i="15" s="1"/>
  <c r="CT102" i="15"/>
  <c r="CT103" i="15" s="1"/>
  <c r="P16" i="15"/>
  <c r="F112" i="15"/>
  <c r="P12" i="15" s="1"/>
  <c r="AT116" i="15"/>
  <c r="AT111" i="15"/>
  <c r="AR116" i="15"/>
  <c r="AR111" i="15"/>
  <c r="AA116" i="15"/>
  <c r="AA111" i="15"/>
  <c r="P17" i="15"/>
  <c r="H112" i="15"/>
  <c r="P13" i="15" s="1"/>
  <c r="Y114" i="15"/>
  <c r="CG112" i="15"/>
  <c r="CF11" i="15" s="1"/>
  <c r="CK112" i="15"/>
  <c r="BL133" i="15" l="1"/>
  <c r="BK137" i="15" s="1"/>
  <c r="BM137" i="15" s="1"/>
  <c r="BT133" i="15"/>
  <c r="BK145" i="15" s="1"/>
  <c r="BM145" i="15" s="1"/>
  <c r="BP133" i="15"/>
  <c r="BK141" i="15" s="1"/>
  <c r="BM141" i="15" s="1"/>
  <c r="BK102" i="15"/>
  <c r="BK103" i="15" s="1"/>
  <c r="BT17" i="15" s="1"/>
  <c r="BO133" i="15"/>
  <c r="BK140" i="15" s="1"/>
  <c r="BM140" i="15" s="1"/>
  <c r="BN133" i="15"/>
  <c r="BK139" i="15" s="1"/>
  <c r="BM139" i="15" s="1"/>
  <c r="BQ133" i="15"/>
  <c r="BK142" i="15" s="1"/>
  <c r="BM142" i="15" s="1"/>
  <c r="BS133" i="15"/>
  <c r="BK144" i="15" s="1"/>
  <c r="BM144" i="15" s="1"/>
  <c r="U14" i="15"/>
  <c r="U15" i="15"/>
  <c r="T13" i="15"/>
  <c r="U13" i="15" s="1"/>
  <c r="U17" i="15"/>
  <c r="AY26" i="15" a="1"/>
  <c r="AY26" i="15" s="1"/>
  <c r="BF13" i="15" s="1" a="1"/>
  <c r="BG14" i="15" s="1"/>
  <c r="CF12" i="15"/>
  <c r="CN134" i="15" s="1"/>
  <c r="AR112" i="15"/>
  <c r="BB12" i="15" s="1"/>
  <c r="BB16" i="15"/>
  <c r="CF14" i="15"/>
  <c r="AA112" i="15"/>
  <c r="AI13" i="15" s="1"/>
  <c r="AI17" i="15"/>
  <c r="CQ127" i="15"/>
  <c r="CL133" i="15"/>
  <c r="CQ129" i="15"/>
  <c r="CQ115" i="15"/>
  <c r="CR115" i="15" s="1"/>
  <c r="CN133" i="15"/>
  <c r="CQ128" i="15"/>
  <c r="CI133" i="15"/>
  <c r="CK133" i="15"/>
  <c r="CQ103" i="15"/>
  <c r="CG133" i="15"/>
  <c r="CQ104" i="15"/>
  <c r="CQ105" i="15" s="1"/>
  <c r="CF16" i="15" s="1"/>
  <c r="CQ106" i="15" s="1"/>
  <c r="CQ107" i="15" s="1"/>
  <c r="CF17" i="15" s="1"/>
  <c r="CH133" i="15"/>
  <c r="CM133" i="15"/>
  <c r="CU120" i="15"/>
  <c r="CI14" i="15" s="1"/>
  <c r="CI18" i="15" s="1"/>
  <c r="CJ133" i="15"/>
  <c r="CO133" i="15"/>
  <c r="AT112" i="15"/>
  <c r="BB13" i="15" s="1"/>
  <c r="BB17" i="15"/>
  <c r="Y116" i="15"/>
  <c r="Y111" i="15"/>
  <c r="CQ13" i="15" a="1"/>
  <c r="CQ13" i="15" s="1"/>
  <c r="BN101" i="15" l="1"/>
  <c r="BT18" i="15" s="1"/>
  <c r="BT24" i="15"/>
  <c r="BK147" i="15"/>
  <c r="BT25" i="15" a="1"/>
  <c r="BT25" i="15" s="1"/>
  <c r="BK149" i="15"/>
  <c r="BK148" i="15"/>
  <c r="CK134" i="15"/>
  <c r="CO134" i="15"/>
  <c r="CT104" i="15"/>
  <c r="CT105" i="15" s="1"/>
  <c r="CF18" i="15" s="1"/>
  <c r="AL13" i="15" a="1"/>
  <c r="AN15" i="15" s="1"/>
  <c r="BG17" i="15"/>
  <c r="BF13" i="15"/>
  <c r="BG13" i="15" s="1"/>
  <c r="BG15" i="15"/>
  <c r="CL134" i="15"/>
  <c r="CI134" i="15"/>
  <c r="CJ134" i="15"/>
  <c r="CM134" i="15"/>
  <c r="CG134" i="15"/>
  <c r="CH134" i="15"/>
  <c r="BG16" i="15"/>
  <c r="CQ114" i="15"/>
  <c r="CS114" i="15" s="1"/>
  <c r="CI10" i="15"/>
  <c r="CT115" i="15"/>
  <c r="CT116" i="15"/>
  <c r="CF135" i="15"/>
  <c r="CF136" i="15" s="1"/>
  <c r="CG135" i="15"/>
  <c r="CO135" i="15"/>
  <c r="CN135" i="15"/>
  <c r="CN136" i="15" s="1"/>
  <c r="CF147" i="15" s="1"/>
  <c r="CH147" i="15" s="1"/>
  <c r="CH135" i="15"/>
  <c r="CK135" i="15"/>
  <c r="CM135" i="15"/>
  <c r="CJ135" i="15"/>
  <c r="CL135" i="15"/>
  <c r="CI135" i="15"/>
  <c r="Y112" i="15"/>
  <c r="AI12" i="15" s="1"/>
  <c r="AI16" i="15"/>
  <c r="CO136" i="15" l="1"/>
  <c r="CF148" i="15" s="1"/>
  <c r="CH148" i="15" s="1"/>
  <c r="BT26" i="15" a="1"/>
  <c r="BT26" i="15" s="1"/>
  <c r="BY11" i="15" s="1" a="1"/>
  <c r="BZ14" i="15" s="1"/>
  <c r="AN16" i="15"/>
  <c r="AL13" i="15"/>
  <c r="AN13" i="15" s="1"/>
  <c r="CK136" i="15"/>
  <c r="CF24" i="15" s="1"/>
  <c r="AN17" i="15"/>
  <c r="CM136" i="15"/>
  <c r="CF146" i="15" s="1"/>
  <c r="CH146" i="15" s="1"/>
  <c r="AN14" i="15"/>
  <c r="CS13" i="15" a="1"/>
  <c r="CS13" i="15" s="1"/>
  <c r="CL136" i="15"/>
  <c r="CF145" i="15" s="1"/>
  <c r="CH145" i="15" s="1"/>
  <c r="CJ136" i="15"/>
  <c r="CF143" i="15" s="1"/>
  <c r="CH143" i="15" s="1"/>
  <c r="CI136" i="15"/>
  <c r="CF142" i="15" s="1"/>
  <c r="CH142" i="15" s="1"/>
  <c r="CG136" i="15"/>
  <c r="CF140" i="15" s="1"/>
  <c r="CH140" i="15" s="1"/>
  <c r="CH136" i="15"/>
  <c r="CF141" i="15" s="1"/>
  <c r="CH141" i="15" s="1"/>
  <c r="CR114" i="15"/>
  <c r="CS122" i="15" s="1"/>
  <c r="CF144" i="15"/>
  <c r="CH144" i="15" s="1"/>
  <c r="CF139" i="15"/>
  <c r="CH139" i="15" s="1"/>
  <c r="BY11" i="15" l="1"/>
  <c r="BZ11" i="15" s="1"/>
  <c r="BZ12" i="15"/>
  <c r="BZ13" i="15"/>
  <c r="BZ15" i="15"/>
  <c r="CF151" i="15"/>
  <c r="CF25" i="15" a="1"/>
  <c r="CF25" i="15" s="1"/>
  <c r="CF150" i="15"/>
  <c r="CF152" i="15"/>
  <c r="CS124" i="15"/>
  <c r="CS119" i="15"/>
  <c r="CQ122" i="15"/>
  <c r="CS120" i="15" l="1"/>
  <c r="CI13" i="15" s="1"/>
  <c r="CI17" i="15"/>
  <c r="CQ124" i="15"/>
  <c r="CQ119" i="15"/>
  <c r="CF26" i="15" a="1"/>
  <c r="CF26" i="15" s="1"/>
  <c r="CM13" i="15" s="1" a="1"/>
  <c r="CM13" i="15" l="1"/>
  <c r="CN13" i="15" s="1"/>
  <c r="CN15" i="15"/>
  <c r="CN16" i="15"/>
  <c r="CN17" i="15"/>
  <c r="CN14" i="15"/>
  <c r="CI16" i="15"/>
  <c r="CQ120" i="15"/>
  <c r="CI12" i="15" s="1"/>
  <c r="CR13" i="15" l="1" a="1"/>
  <c r="CR13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539520-002F-47DD-BBD0-91B47B3B243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0CF8D5-00EE-45F7-A24F-F994AF845AF0}" name="WorksheetConnection_D Máximos!$T$31:$V$33" type="102" refreshedVersion="8" minRefreshableVersion="5">
    <extLst>
      <ext xmlns:x15="http://schemas.microsoft.com/office/spreadsheetml/2010/11/main" uri="{DE250136-89BD-433C-8126-D09CA5730AF9}">
        <x15:connection id="Rango 1">
          <x15:rangePr sourceName="_xlcn.WorksheetConnection_DMáximosT31V331"/>
        </x15:connection>
      </ext>
    </extLst>
  </connection>
  <connection id="3" xr16:uid="{EE2CD49A-580D-4107-996F-384BB19C5308}" name="WorksheetConnection_Hoja1!$C$3:$G$5" type="102" refreshedVersion="8" minRefreshableVersion="5">
    <extLst>
      <ext xmlns:x15="http://schemas.microsoft.com/office/spreadsheetml/2010/11/main" uri="{DE250136-89BD-433C-8126-D09CA5730AF9}">
        <x15:connection id="Rango">
          <x15:rangePr sourceName="_xlcn.WorksheetConnection_Hoja1C3G5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<sst xmlns="http://schemas.openxmlformats.org/spreadsheetml/2006/main" count="4289" uniqueCount="760">
  <si>
    <t>Texto</t>
  </si>
  <si>
    <t>Títulos Sección</t>
  </si>
  <si>
    <t>Título</t>
  </si>
  <si>
    <t>Peso (Tm)</t>
  </si>
  <si>
    <t>FSM (Tm x m)</t>
  </si>
  <si>
    <t>VHM (m4)</t>
  </si>
  <si>
    <t>B1</t>
  </si>
  <si>
    <t>B2</t>
  </si>
  <si>
    <t>B3</t>
  </si>
  <si>
    <t>B4</t>
  </si>
  <si>
    <t>B5</t>
  </si>
  <si>
    <t>Bodegas</t>
  </si>
  <si>
    <t>Total Bodegas</t>
  </si>
  <si>
    <t>Vol 100%</t>
  </si>
  <si>
    <t>Vol 98%</t>
  </si>
  <si>
    <t>LCG</t>
  </si>
  <si>
    <t>TCG</t>
  </si>
  <si>
    <t>VCG</t>
  </si>
  <si>
    <t>FSM (m4)</t>
  </si>
  <si>
    <t>Water Ballast</t>
  </si>
  <si>
    <t>Fore Peak tank</t>
  </si>
  <si>
    <t>DB Ballast P 1</t>
  </si>
  <si>
    <t>DB Ballast P 2</t>
  </si>
  <si>
    <t>WT Ballast P 1</t>
  </si>
  <si>
    <t>WT Ballast P 2</t>
  </si>
  <si>
    <t>DB Ballast S 1</t>
  </si>
  <si>
    <t>WT Ballast S 1</t>
  </si>
  <si>
    <t>Bodega 3 (BW)</t>
  </si>
  <si>
    <t>AFT Peak Tank</t>
  </si>
  <si>
    <t>Hold Wash Water S</t>
  </si>
  <si>
    <t>Hold Wash Water P</t>
  </si>
  <si>
    <t>DB Ballast S 2</t>
  </si>
  <si>
    <t>WT Ballast S 2</t>
  </si>
  <si>
    <t>DB Ballast P 3</t>
  </si>
  <si>
    <t>DB Ballast S 3</t>
  </si>
  <si>
    <t>WT Ballast P 3</t>
  </si>
  <si>
    <t>WT Ballast S 3</t>
  </si>
  <si>
    <t>DB Ballast P 4</t>
  </si>
  <si>
    <t>DB Ballast S 4</t>
  </si>
  <si>
    <t>WT Ballast P 4</t>
  </si>
  <si>
    <t>WT Ballast S 4</t>
  </si>
  <si>
    <t>DB Ballast P 5</t>
  </si>
  <si>
    <t>DB Ballast S 5</t>
  </si>
  <si>
    <t>WT Ballast P 5</t>
  </si>
  <si>
    <t>WT Ballast S 5</t>
  </si>
  <si>
    <t>Total Water Ballast</t>
  </si>
  <si>
    <t>Heavy Fuel Oil</t>
  </si>
  <si>
    <t>HFO Deep P 1</t>
  </si>
  <si>
    <t>HFO Deep S 1</t>
  </si>
  <si>
    <t>HFO Deep P 2</t>
  </si>
  <si>
    <t>HFO Deep S 2</t>
  </si>
  <si>
    <t>HFO Service Tk 1</t>
  </si>
  <si>
    <t>HFO Service Tk 2</t>
  </si>
  <si>
    <t>HFO Settling Tk 1</t>
  </si>
  <si>
    <t>HFO Settling Tk 2</t>
  </si>
  <si>
    <t>HFO Overflow Tk</t>
  </si>
  <si>
    <t>Total HFO</t>
  </si>
  <si>
    <t>Diesel Oil</t>
  </si>
  <si>
    <t>DO Deep Tk S</t>
  </si>
  <si>
    <t>DO Service Tk 1</t>
  </si>
  <si>
    <t>DO Service Tk 2</t>
  </si>
  <si>
    <t>DO Settling Tk</t>
  </si>
  <si>
    <t>Total DO</t>
  </si>
  <si>
    <t>Lubricating Oil</t>
  </si>
  <si>
    <t>Total LO</t>
  </si>
  <si>
    <t>LO Store Tk 1</t>
  </si>
  <si>
    <t>LO Store Tk 2</t>
  </si>
  <si>
    <t>Cyl Oil Tk 1</t>
  </si>
  <si>
    <t>Cyl Oil Tk 2</t>
  </si>
  <si>
    <t>LO Sump Tk</t>
  </si>
  <si>
    <t>LO A/E Tk 1</t>
  </si>
  <si>
    <t>LO A/E Tk 2</t>
  </si>
  <si>
    <t>LO Stern Tube Tk</t>
  </si>
  <si>
    <t>Cyl Oil Service Tk 1</t>
  </si>
  <si>
    <t>Cyl Oil Service Tk 2</t>
  </si>
  <si>
    <t>Fresh Water</t>
  </si>
  <si>
    <t>FW Tk P</t>
  </si>
  <si>
    <t>FW Tk S</t>
  </si>
  <si>
    <t>Total FW</t>
  </si>
  <si>
    <t>Miscellaneus Oil</t>
  </si>
  <si>
    <t>HFO Drain Tk</t>
  </si>
  <si>
    <t>Sludge Oil Tk</t>
  </si>
  <si>
    <t>Stern Tube Drain Tk</t>
  </si>
  <si>
    <t>Total Misc. Oil</t>
  </si>
  <si>
    <t>Miscellaneus Water</t>
  </si>
  <si>
    <t>S/T Cooling</t>
  </si>
  <si>
    <t>Sewage Holding Tk</t>
  </si>
  <si>
    <t>Bilge Water Tk</t>
  </si>
  <si>
    <t>Feed Water Tk</t>
  </si>
  <si>
    <t>FW Drain Tk</t>
  </si>
  <si>
    <t>Total Misc. Water</t>
  </si>
  <si>
    <t>D Rosca</t>
  </si>
  <si>
    <t>Eslora total</t>
  </si>
  <si>
    <t>Eslora entre PP</t>
  </si>
  <si>
    <t>Manga</t>
  </si>
  <si>
    <t>Puntal</t>
  </si>
  <si>
    <t>Calado Aereo</t>
  </si>
  <si>
    <t>Freeboard</t>
  </si>
  <si>
    <t>Draft</t>
  </si>
  <si>
    <t>D</t>
  </si>
  <si>
    <t>DWT</t>
  </si>
  <si>
    <t>TF</t>
  </si>
  <si>
    <t>F</t>
  </si>
  <si>
    <t>S</t>
  </si>
  <si>
    <t>W</t>
  </si>
  <si>
    <t>Calado en las marcas</t>
  </si>
  <si>
    <t>Cpp</t>
  </si>
  <si>
    <t>&lt;11m</t>
  </si>
  <si>
    <t>&gt;11m</t>
  </si>
  <si>
    <t>Esp K</t>
  </si>
  <si>
    <t>L aft</t>
  </si>
  <si>
    <t>L fwd</t>
  </si>
  <si>
    <t>Epp</t>
  </si>
  <si>
    <t>CB</t>
  </si>
  <si>
    <t>Draft (m)</t>
  </si>
  <si>
    <t>LCB (m)</t>
  </si>
  <si>
    <t>VCB (m)</t>
  </si>
  <si>
    <t>LCF (m)</t>
  </si>
  <si>
    <t>KMT (m)</t>
  </si>
  <si>
    <t>MCT (Tm*m)</t>
  </si>
  <si>
    <t>TCP (Tm/cm)</t>
  </si>
  <si>
    <t>WLA (m2)</t>
  </si>
  <si>
    <t>WSA (m2)</t>
  </si>
  <si>
    <t>D tm</t>
  </si>
  <si>
    <t>DW tm</t>
  </si>
  <si>
    <t>Grain Shifting Moments B1</t>
  </si>
  <si>
    <t>Height (m)</t>
  </si>
  <si>
    <t>Ullage (m)</t>
  </si>
  <si>
    <t>V (m3)</t>
  </si>
  <si>
    <t>Grain Shifting Moments B2</t>
  </si>
  <si>
    <t>Grain Shifting Moments B3</t>
  </si>
  <si>
    <t>Grain Shifting Moments B4</t>
  </si>
  <si>
    <t>Grain Shifting Moments B5</t>
  </si>
  <si>
    <t>Trimmed</t>
  </si>
  <si>
    <t>Untrimmed</t>
  </si>
  <si>
    <t>Max. Grain Shifting Moments; TRIM = 0</t>
  </si>
  <si>
    <t>KG / Draft</t>
  </si>
  <si>
    <t>KN (m) TRIM = 0,0 m</t>
  </si>
  <si>
    <t>Heeling angle / Draft</t>
  </si>
  <si>
    <t>KN (m) TRIM = 1,0 m</t>
  </si>
  <si>
    <t>Origen (A)</t>
  </si>
  <si>
    <t xml:space="preserve"> º</t>
  </si>
  <si>
    <t xml:space="preserve"> "</t>
  </si>
  <si>
    <t>Puerto:</t>
  </si>
  <si>
    <t>Destino (B)</t>
  </si>
  <si>
    <t>N/S</t>
  </si>
  <si>
    <t>E/W</t>
  </si>
  <si>
    <t>Nombre</t>
  </si>
  <si>
    <t>Lat_Grados</t>
  </si>
  <si>
    <t>Lat_Min</t>
  </si>
  <si>
    <t>Lat_Seg</t>
  </si>
  <si>
    <t>Lon_Grados</t>
  </si>
  <si>
    <t>Lon_Min</t>
  </si>
  <si>
    <t>Lon_Seg</t>
  </si>
  <si>
    <t>Shanghai</t>
  </si>
  <si>
    <t>Singapur</t>
  </si>
  <si>
    <t>Rotterdam</t>
  </si>
  <si>
    <t>Tianjin</t>
  </si>
  <si>
    <t>Guangzhou</t>
  </si>
  <si>
    <t>Busan</t>
  </si>
  <si>
    <t>Qingdao</t>
  </si>
  <si>
    <t>Hong Kong</t>
  </si>
  <si>
    <t>Los Angeles</t>
  </si>
  <si>
    <t>Jebel Ali (Dubai)</t>
  </si>
  <si>
    <t>Hamburgo</t>
  </si>
  <si>
    <t>Amberes</t>
  </si>
  <si>
    <t>Port Klang</t>
  </si>
  <si>
    <t>Xiamen</t>
  </si>
  <si>
    <t>Tanjung Pelepas</t>
  </si>
  <si>
    <t>Kaohsiung</t>
  </si>
  <si>
    <t>Long Beach</t>
  </si>
  <si>
    <t>Tanjung Priok (Yakarta)</t>
  </si>
  <si>
    <t>Nueva York / Nueva Jersey</t>
  </si>
  <si>
    <t>Laem Chabang</t>
  </si>
  <si>
    <t>Bremen/Bremerhaven</t>
  </si>
  <si>
    <t>Ho Chi Minh</t>
  </si>
  <si>
    <t>Lianyungang</t>
  </si>
  <si>
    <t>Tokio</t>
  </si>
  <si>
    <t>Mundra</t>
  </si>
  <si>
    <t>Colón</t>
  </si>
  <si>
    <t>Valencia</t>
  </si>
  <si>
    <t>Algeciras</t>
  </si>
  <si>
    <t>Nhava Sheva (Mumbai)</t>
  </si>
  <si>
    <t>Jeddah</t>
  </si>
  <si>
    <t>Colombo</t>
  </si>
  <si>
    <t>Santos</t>
  </si>
  <si>
    <t>Manila</t>
  </si>
  <si>
    <t>Felixstowe</t>
  </si>
  <si>
    <t>Seattle</t>
  </si>
  <si>
    <t>Savannah</t>
  </si>
  <si>
    <t>Vancouver</t>
  </si>
  <si>
    <t>Barcelona</t>
  </si>
  <si>
    <t>Salalah</t>
  </si>
  <si>
    <t>Yokohama</t>
  </si>
  <si>
    <t>Durban</t>
  </si>
  <si>
    <t>Tanger Med</t>
  </si>
  <si>
    <t>El Pireo</t>
  </si>
  <si>
    <t>Gioia Tauro</t>
  </si>
  <si>
    <t>Kobe</t>
  </si>
  <si>
    <t>Osaka</t>
  </si>
  <si>
    <t>Nagoya</t>
  </si>
  <si>
    <t>Incheon</t>
  </si>
  <si>
    <t>Melbourne</t>
  </si>
  <si>
    <t>Sydney</t>
  </si>
  <si>
    <t>Callao</t>
  </si>
  <si>
    <t>Guayaquil</t>
  </si>
  <si>
    <t>Balboa</t>
  </si>
  <si>
    <t>Cartagena</t>
  </si>
  <si>
    <t>San Antonio</t>
  </si>
  <si>
    <t>Valparaíso</t>
  </si>
  <si>
    <t>Buenos Aires</t>
  </si>
  <si>
    <t>Montevideo</t>
  </si>
  <si>
    <t>Veracruz</t>
  </si>
  <si>
    <t>Manzanillo (México)</t>
  </si>
  <si>
    <t>Houston</t>
  </si>
  <si>
    <t>Oakland</t>
  </si>
  <si>
    <t>Miami</t>
  </si>
  <si>
    <t>Marsella</t>
  </si>
  <si>
    <t>Le Havre</t>
  </si>
  <si>
    <t>Génova</t>
  </si>
  <si>
    <t>La Spezia</t>
  </si>
  <si>
    <t>Trieste</t>
  </si>
  <si>
    <t>Southampton</t>
  </si>
  <si>
    <t>Londres Gateway</t>
  </si>
  <si>
    <t>Gdansk</t>
  </si>
  <si>
    <t>San Petersburgo</t>
  </si>
  <si>
    <t>Novorossiysk</t>
  </si>
  <si>
    <t>Estambul</t>
  </si>
  <si>
    <t>Mersin</t>
  </si>
  <si>
    <t>Haifa</t>
  </si>
  <si>
    <t>Ashdod</t>
  </si>
  <si>
    <t>Alejandría</t>
  </si>
  <si>
    <t>Port Said</t>
  </si>
  <si>
    <t>Lagos</t>
  </si>
  <si>
    <t>Mombasa</t>
  </si>
  <si>
    <t>Ciudad del Cabo</t>
  </si>
  <si>
    <t>Abiyán</t>
  </si>
  <si>
    <t>Dakar</t>
  </si>
  <si>
    <t>Karachi</t>
  </si>
  <si>
    <t>Chittagong</t>
  </si>
  <si>
    <t>Chennai</t>
  </si>
  <si>
    <t>Calcuta</t>
  </si>
  <si>
    <t>Bangkok</t>
  </si>
  <si>
    <t>Penang</t>
  </si>
  <si>
    <t>Jakarta</t>
  </si>
  <si>
    <t>Surabaya</t>
  </si>
  <si>
    <t>Brisbane</t>
  </si>
  <si>
    <t>Fremantle</t>
  </si>
  <si>
    <t>Auckland</t>
  </si>
  <si>
    <t>Tauranga</t>
  </si>
  <si>
    <t>Honolulu</t>
  </si>
  <si>
    <t>Anchorage</t>
  </si>
  <si>
    <t>Montreal</t>
  </si>
  <si>
    <t>Halifax</t>
  </si>
  <si>
    <t>Bilbao</t>
  </si>
  <si>
    <t>Las Palmas</t>
  </si>
  <si>
    <t>Tenerife</t>
  </si>
  <si>
    <t>Vigo</t>
  </si>
  <si>
    <t>Sines</t>
  </si>
  <si>
    <t>Lisboa</t>
  </si>
  <si>
    <t>Gotemburgo</t>
  </si>
  <si>
    <t>Aarhus</t>
  </si>
  <si>
    <t>Otro</t>
  </si>
  <si>
    <t>′</t>
  </si>
  <si>
    <t>ϕ</t>
  </si>
  <si>
    <t>λ</t>
  </si>
  <si>
    <t>ϕ A</t>
  </si>
  <si>
    <t>ϕ B</t>
  </si>
  <si>
    <t>λ B</t>
  </si>
  <si>
    <t>λ A</t>
  </si>
  <si>
    <t>ϕa B</t>
  </si>
  <si>
    <t>ϕa A</t>
  </si>
  <si>
    <t>"+90º"</t>
  </si>
  <si>
    <t>"+180º"</t>
  </si>
  <si>
    <t>Δϕa</t>
  </si>
  <si>
    <t xml:space="preserve">Δλ </t>
  </si>
  <si>
    <t>Tg R</t>
  </si>
  <si>
    <t>R</t>
  </si>
  <si>
    <t>dn</t>
  </si>
  <si>
    <t>Δϕ</t>
  </si>
  <si>
    <t>D RL</t>
  </si>
  <si>
    <t>V media (Kt)</t>
  </si>
  <si>
    <t>T RL (días)</t>
  </si>
  <si>
    <t>D GC</t>
  </si>
  <si>
    <t>T GC (días)</t>
  </si>
  <si>
    <t>Cos D GC</t>
  </si>
  <si>
    <t>Ganancia</t>
  </si>
  <si>
    <t>&gt; 300'</t>
  </si>
  <si>
    <t>T (días)</t>
  </si>
  <si>
    <t>D (millas)</t>
  </si>
  <si>
    <t>Vertice</t>
  </si>
  <si>
    <t>Paralelo Limt</t>
  </si>
  <si>
    <t>Paralelo Limite:</t>
  </si>
  <si>
    <t>D Limit.</t>
  </si>
  <si>
    <t>T Limit (días)</t>
  </si>
  <si>
    <t>ϕv</t>
  </si>
  <si>
    <t>Cosβ</t>
  </si>
  <si>
    <t>CotanRi</t>
  </si>
  <si>
    <t>Ri</t>
  </si>
  <si>
    <t>CosΔλ A-V</t>
  </si>
  <si>
    <t>Δλ A-V</t>
  </si>
  <si>
    <t>D1</t>
  </si>
  <si>
    <t>D3</t>
  </si>
  <si>
    <t>Δλ A-W1</t>
  </si>
  <si>
    <t>Δλ B-W2</t>
  </si>
  <si>
    <t>Δλ</t>
  </si>
  <si>
    <t>d2</t>
  </si>
  <si>
    <t>"-180º"</t>
  </si>
  <si>
    <t>Derr. Elegida:</t>
  </si>
  <si>
    <t>N</t>
  </si>
  <si>
    <t>D actual</t>
  </si>
  <si>
    <t>d actual</t>
  </si>
  <si>
    <t>LCB</t>
  </si>
  <si>
    <t>LCF</t>
  </si>
  <si>
    <t>Mu</t>
  </si>
  <si>
    <t>Tc</t>
  </si>
  <si>
    <t>Pad</t>
  </si>
  <si>
    <t>Con xd</t>
  </si>
  <si>
    <r>
      <t>C</t>
    </r>
    <r>
      <rPr>
        <sz val="8"/>
        <color rgb="FFFF43AA"/>
        <rFont val="Calibri"/>
        <family val="2"/>
      </rPr>
      <t>H</t>
    </r>
    <r>
      <rPr>
        <sz val="11"/>
        <color rgb="FFFF43AA"/>
        <rFont val="Calibri"/>
        <family val="2"/>
      </rPr>
      <t xml:space="preserve"> sw</t>
    </r>
  </si>
  <si>
    <r>
      <t>C</t>
    </r>
    <r>
      <rPr>
        <sz val="8"/>
        <color rgb="FFFF43AA"/>
        <rFont val="Aptos Narrow"/>
        <family val="2"/>
        <scheme val="minor"/>
      </rPr>
      <t>H</t>
    </r>
    <r>
      <rPr>
        <sz val="11"/>
        <color rgb="FFFF43AA"/>
        <rFont val="Aptos Narrow"/>
        <family val="2"/>
        <scheme val="minor"/>
      </rPr>
      <t xml:space="preserve"> bw</t>
    </r>
  </si>
  <si>
    <t>D zona Sal</t>
  </si>
  <si>
    <t>C max Sal</t>
  </si>
  <si>
    <t>d salida</t>
  </si>
  <si>
    <t>T</t>
  </si>
  <si>
    <t>No Aplica</t>
  </si>
  <si>
    <t>D zona Lleg</t>
  </si>
  <si>
    <t>C max Lleg</t>
  </si>
  <si>
    <t>d llegada</t>
  </si>
  <si>
    <t>Cambio a Zona de LLEG</t>
  </si>
  <si>
    <t>Ch Max Sal</t>
  </si>
  <si>
    <t>D Ch max Bw</t>
  </si>
  <si>
    <t>D Ch max Sw</t>
  </si>
  <si>
    <t>CMO x d</t>
  </si>
  <si>
    <t>ϕa Z</t>
  </si>
  <si>
    <t>ϕ Z</t>
  </si>
  <si>
    <t>λ Z</t>
  </si>
  <si>
    <t>t D GC</t>
  </si>
  <si>
    <t>t dn</t>
  </si>
  <si>
    <t>D min Absoluto</t>
  </si>
  <si>
    <t>D Sal</t>
  </si>
  <si>
    <t>D Lleg</t>
  </si>
  <si>
    <t>CMO a Zona</t>
  </si>
  <si>
    <t>CMO a Lleg</t>
  </si>
  <si>
    <t>D Max Sal</t>
  </si>
  <si>
    <t>D Max Lleg</t>
  </si>
  <si>
    <t>D ACTUAL</t>
  </si>
  <si>
    <t>D SALIDA</t>
  </si>
  <si>
    <t>D LLEGADA</t>
  </si>
  <si>
    <t>&lt;-λ V</t>
  </si>
  <si>
    <t>ΔλZ-V</t>
  </si>
  <si>
    <t>Ocultar</t>
  </si>
  <si>
    <t>Slack</t>
  </si>
  <si>
    <t>%</t>
  </si>
  <si>
    <t>m3</t>
  </si>
  <si>
    <t>Fe</t>
  </si>
  <si>
    <t>Fe/d</t>
  </si>
  <si>
    <t>Tm</t>
  </si>
  <si>
    <t>Full</t>
  </si>
  <si>
    <t>ft3</t>
  </si>
  <si>
    <t>d</t>
  </si>
  <si>
    <t>V m3</t>
  </si>
  <si>
    <t>Fe m3/Tm</t>
  </si>
  <si>
    <t>F/Slc</t>
  </si>
  <si>
    <t>D/V</t>
  </si>
  <si>
    <t>Igual</t>
  </si>
  <si>
    <t>Vacio</t>
  </si>
  <si>
    <t>VCGact</t>
  </si>
  <si>
    <t>VCGactsl</t>
  </si>
  <si>
    <t>LCGact</t>
  </si>
  <si>
    <t>TCGact</t>
  </si>
  <si>
    <t>Csl</t>
  </si>
  <si>
    <t>Φe act</t>
  </si>
  <si>
    <t>ARact</t>
  </si>
  <si>
    <t>GMactsl</t>
  </si>
  <si>
    <t>CMpr</t>
  </si>
  <si>
    <t>CMpp</t>
  </si>
  <si>
    <t>CMx</t>
  </si>
  <si>
    <t>CppPr</t>
  </si>
  <si>
    <t>CppPp</t>
  </si>
  <si>
    <t>Cx</t>
  </si>
  <si>
    <t>C Marcas</t>
  </si>
  <si>
    <t>C Perpen.</t>
  </si>
  <si>
    <t>MV</t>
  </si>
  <si>
    <t>ML</t>
  </si>
  <si>
    <t>MT</t>
  </si>
  <si>
    <t>Dr</t>
  </si>
  <si>
    <t>Dact</t>
  </si>
  <si>
    <t>VHM</t>
  </si>
  <si>
    <t>GHM</t>
  </si>
  <si>
    <t>ΣGHM</t>
  </si>
  <si>
    <t>KN</t>
  </si>
  <si>
    <t>KM</t>
  </si>
  <si>
    <t>GM</t>
  </si>
  <si>
    <t>λ0</t>
  </si>
  <si>
    <t>λ40</t>
  </si>
  <si>
    <t>GZ40</t>
  </si>
  <si>
    <t>AR</t>
  </si>
  <si>
    <t>tgΦe</t>
  </si>
  <si>
    <t>Φe</t>
  </si>
  <si>
    <t>Φactsl</t>
  </si>
  <si>
    <t>dmax</t>
  </si>
  <si>
    <t>duso</t>
  </si>
  <si>
    <t>CMOtot</t>
  </si>
  <si>
    <t>dRest</t>
  </si>
  <si>
    <t>Deep S</t>
  </si>
  <si>
    <t>Service 1</t>
  </si>
  <si>
    <t>Service 2</t>
  </si>
  <si>
    <t>Settling</t>
  </si>
  <si>
    <t>d Viaje</t>
  </si>
  <si>
    <t>CMOtot DO</t>
  </si>
  <si>
    <t>Deep P 1</t>
  </si>
  <si>
    <t>Deep S 1</t>
  </si>
  <si>
    <t>Deep P 2</t>
  </si>
  <si>
    <t>Deep S 2</t>
  </si>
  <si>
    <t>Service Tk 1</t>
  </si>
  <si>
    <t>Service Tk 2</t>
  </si>
  <si>
    <t>Settling Tk 1</t>
  </si>
  <si>
    <t>Settling Tk 2</t>
  </si>
  <si>
    <t>Overflow Tk</t>
  </si>
  <si>
    <t>CMOtot HFO</t>
  </si>
  <si>
    <t>CMO Tot</t>
  </si>
  <si>
    <t>Cap SAL</t>
  </si>
  <si>
    <t>Store 1</t>
  </si>
  <si>
    <t>Store 2</t>
  </si>
  <si>
    <t>Cyl 1</t>
  </si>
  <si>
    <t>Cyl 2</t>
  </si>
  <si>
    <t xml:space="preserve">Sump </t>
  </si>
  <si>
    <t>A/E 1</t>
  </si>
  <si>
    <t>A/E 2</t>
  </si>
  <si>
    <t>Stern Tube</t>
  </si>
  <si>
    <t>Cyl Service 1</t>
  </si>
  <si>
    <t>Cyl Service 2</t>
  </si>
  <si>
    <t>CMOtot LO</t>
  </si>
  <si>
    <t>HFO Drain</t>
  </si>
  <si>
    <t>Sludge</t>
  </si>
  <si>
    <t>Stern Tube Drain</t>
  </si>
  <si>
    <t>CMOtot Misc.Oil</t>
  </si>
  <si>
    <t>Sewage Holding</t>
  </si>
  <si>
    <t>Bilge</t>
  </si>
  <si>
    <t>FW Drain</t>
  </si>
  <si>
    <t>Feed</t>
  </si>
  <si>
    <t>CMOtot Misc.Wt</t>
  </si>
  <si>
    <t>CMOtot FW</t>
  </si>
  <si>
    <t>CapSAL</t>
  </si>
  <si>
    <t>CapLLEG</t>
  </si>
  <si>
    <t>CMOtotxd</t>
  </si>
  <si>
    <t>C ACTUAL</t>
  </si>
  <si>
    <t>Arruf/Quebr</t>
  </si>
  <si>
    <t>CPpr</t>
  </si>
  <si>
    <t>CPpp</t>
  </si>
  <si>
    <t>C SALIDA</t>
  </si>
  <si>
    <t>C LLEGADA</t>
  </si>
  <si>
    <t>A (cm)</t>
  </si>
  <si>
    <t>Ninguno</t>
  </si>
  <si>
    <t>Apr</t>
  </si>
  <si>
    <t>ConMpr</t>
  </si>
  <si>
    <t>Arr/Queb</t>
  </si>
  <si>
    <t>App</t>
  </si>
  <si>
    <t>ConMpp</t>
  </si>
  <si>
    <t>pr</t>
  </si>
  <si>
    <t>pp</t>
  </si>
  <si>
    <t>PF</t>
  </si>
  <si>
    <t>Cap ACT</t>
  </si>
  <si>
    <t>Cap LLEG</t>
  </si>
  <si>
    <t>ACT</t>
  </si>
  <si>
    <t>%ACT</t>
  </si>
  <si>
    <t>D/V/%</t>
  </si>
  <si>
    <t>CARGA:</t>
  </si>
  <si>
    <t>REPARTO:</t>
  </si>
  <si>
    <t>D Tm SAL</t>
  </si>
  <si>
    <t>D Tm ACT</t>
  </si>
  <si>
    <t>CMOxd HFO</t>
  </si>
  <si>
    <t>CMOxd DO</t>
  </si>
  <si>
    <t>CMOxd LO</t>
  </si>
  <si>
    <t>CMOxd Misc.O</t>
  </si>
  <si>
    <t>CMOxd Misc.W</t>
  </si>
  <si>
    <t>CMOxd FW</t>
  </si>
  <si>
    <t>Bodegas ACT</t>
  </si>
  <si>
    <t>D ACT</t>
  </si>
  <si>
    <t>D mx SAL</t>
  </si>
  <si>
    <t>Mx CARGA</t>
  </si>
  <si>
    <t>Bodegas SAL</t>
  </si>
  <si>
    <t>CMO HFO</t>
  </si>
  <si>
    <t>CMO DO</t>
  </si>
  <si>
    <t>D Lleg/Sal</t>
  </si>
  <si>
    <t>CMO LO</t>
  </si>
  <si>
    <t>CMO Misc.O</t>
  </si>
  <si>
    <t>CMO FW</t>
  </si>
  <si>
    <t>CMO Misc.W</t>
  </si>
  <si>
    <t>HFO</t>
  </si>
  <si>
    <t>DO</t>
  </si>
  <si>
    <t>LO</t>
  </si>
  <si>
    <t>Misc. Oil</t>
  </si>
  <si>
    <t>Misc W</t>
  </si>
  <si>
    <t xml:space="preserve">FW </t>
  </si>
  <si>
    <t>A Repartir en:</t>
  </si>
  <si>
    <t>Aguas Iguales</t>
  </si>
  <si>
    <t>A</t>
  </si>
  <si>
    <t>LCG SAL/LLEG</t>
  </si>
  <si>
    <t>CMOaLLEG</t>
  </si>
  <si>
    <t>CMOaZN</t>
  </si>
  <si>
    <t>d zn</t>
  </si>
  <si>
    <t>V mx</t>
  </si>
  <si>
    <t>Peso</t>
  </si>
  <si>
    <t>Dlleg</t>
  </si>
  <si>
    <t>Dsal</t>
  </si>
  <si>
    <t>VCGsal</t>
  </si>
  <si>
    <t>VCGsalsl</t>
  </si>
  <si>
    <t>LCGsal</t>
  </si>
  <si>
    <t>TCGsal</t>
  </si>
  <si>
    <t>GMsalsl</t>
  </si>
  <si>
    <t>Φe sal</t>
  </si>
  <si>
    <t>Arsal</t>
  </si>
  <si>
    <t>Φsalsl</t>
  </si>
  <si>
    <t>VCGlleg</t>
  </si>
  <si>
    <t>VCGllegsl</t>
  </si>
  <si>
    <t>LCGlleg</t>
  </si>
  <si>
    <t>TCGlleg</t>
  </si>
  <si>
    <t>GMllegsl</t>
  </si>
  <si>
    <t>Φe lleg</t>
  </si>
  <si>
    <t>Arlleg</t>
  </si>
  <si>
    <t>Φllegsl</t>
  </si>
  <si>
    <t>Distinta</t>
  </si>
  <si>
    <t>Lube Oil</t>
  </si>
  <si>
    <t>CMO a d D</t>
  </si>
  <si>
    <t>Cap a d D</t>
  </si>
  <si>
    <t>Día D</t>
  </si>
  <si>
    <t>d Día D</t>
  </si>
  <si>
    <t>V a d D</t>
  </si>
  <si>
    <t>V Lleg</t>
  </si>
  <si>
    <t>D dD</t>
  </si>
  <si>
    <t>VCG dD</t>
  </si>
  <si>
    <t>VCG dDsl</t>
  </si>
  <si>
    <t>LCG dD</t>
  </si>
  <si>
    <t>TCG dD</t>
  </si>
  <si>
    <t>GM dDsl</t>
  </si>
  <si>
    <t>Φe dD</t>
  </si>
  <si>
    <t>Ar dD</t>
  </si>
  <si>
    <t>Φ dDsl</t>
  </si>
  <si>
    <t>Ch Sw dD</t>
  </si>
  <si>
    <t>Ch Sal</t>
  </si>
  <si>
    <t>Ch Lleg</t>
  </si>
  <si>
    <t>GZ 30</t>
  </si>
  <si>
    <t>GZ max</t>
  </si>
  <si>
    <t>Dinámica 30º</t>
  </si>
  <si>
    <t>Din 30º-40º</t>
  </si>
  <si>
    <t>Din 0º-40º</t>
  </si>
  <si>
    <t>Φ</t>
  </si>
  <si>
    <t>VCG senΦ</t>
  </si>
  <si>
    <t>GZ</t>
  </si>
  <si>
    <t>GHM max</t>
  </si>
  <si>
    <t>TCG cosΦ</t>
  </si>
  <si>
    <t>Simpson</t>
  </si>
  <si>
    <t>Producto</t>
  </si>
  <si>
    <t>Din 0 30</t>
  </si>
  <si>
    <t>Din 30 40</t>
  </si>
  <si>
    <t>Din  0 40</t>
  </si>
  <si>
    <t>Entrada</t>
  </si>
  <si>
    <t>Salida</t>
  </si>
  <si>
    <t>Celda Vacía</t>
  </si>
  <si>
    <t>Selección</t>
  </si>
  <si>
    <t>Celda de Entrada de datos</t>
  </si>
  <si>
    <t>Celda de Salida de datos</t>
  </si>
  <si>
    <t>Celda de selección</t>
  </si>
  <si>
    <r>
      <t>C</t>
    </r>
    <r>
      <rPr>
        <sz val="8"/>
        <color theme="0"/>
        <rFont val="Calibri"/>
        <family val="2"/>
      </rPr>
      <t>H</t>
    </r>
    <r>
      <rPr>
        <sz val="11"/>
        <color theme="0"/>
        <rFont val="Calibri"/>
        <family val="2"/>
      </rPr>
      <t xml:space="preserve"> sw</t>
    </r>
  </si>
  <si>
    <t>Texto Entradas/Salidas/Constantes</t>
  </si>
  <si>
    <t>Otros Pesos</t>
  </si>
  <si>
    <t>Peso Nº 1</t>
  </si>
  <si>
    <t>Peso Nº 2</t>
  </si>
  <si>
    <t>Peso Nº 3</t>
  </si>
  <si>
    <t>Peso Nº 4</t>
  </si>
  <si>
    <t>Peso Nº 5</t>
  </si>
  <si>
    <t>Peso Nº 6</t>
  </si>
  <si>
    <t>Peso Nº 7</t>
  </si>
  <si>
    <t>Peso Nº 8</t>
  </si>
  <si>
    <t>Peso Nº 9</t>
  </si>
  <si>
    <t>Peso Nº 10</t>
  </si>
  <si>
    <t>Aplica</t>
  </si>
  <si>
    <t>GC</t>
  </si>
  <si>
    <t>A SAL (cm)</t>
  </si>
  <si>
    <t>=</t>
  </si>
  <si>
    <t>Ver Cuentas</t>
  </si>
  <si>
    <t>Inundación:</t>
  </si>
  <si>
    <t>Despla. día D</t>
  </si>
  <si>
    <t>Despla. Inund.</t>
  </si>
  <si>
    <t>Nuevo %</t>
  </si>
  <si>
    <t>Condición tras inundación:</t>
  </si>
  <si>
    <t>D Inun</t>
  </si>
  <si>
    <t>VCG Inun</t>
  </si>
  <si>
    <t>VCG Inunsl</t>
  </si>
  <si>
    <t>LCG Inun</t>
  </si>
  <si>
    <t>TCG Inun</t>
  </si>
  <si>
    <t>GM Inunsl</t>
  </si>
  <si>
    <t>Φe Inun</t>
  </si>
  <si>
    <t>Ar Inun</t>
  </si>
  <si>
    <t>Φ Inunsl</t>
  </si>
  <si>
    <t>V</t>
  </si>
  <si>
    <t>Ch Inun</t>
  </si>
  <si>
    <t>Diferencia</t>
  </si>
  <si>
    <t>Día D (7º)</t>
  </si>
  <si>
    <t>Tras Inund.</t>
  </si>
  <si>
    <t>Bajar VCG:</t>
  </si>
  <si>
    <t>Condición tras Bajar VCG:</t>
  </si>
  <si>
    <t>Despla. Inun.</t>
  </si>
  <si>
    <t>D Bajar VCG</t>
  </si>
  <si>
    <t>VCG B.vcg</t>
  </si>
  <si>
    <t>VCG B.vcgsl</t>
  </si>
  <si>
    <t>LCG B.vcg</t>
  </si>
  <si>
    <t>TCG B.vcg</t>
  </si>
  <si>
    <t>GM B.vcgsl</t>
  </si>
  <si>
    <t>Φe B.vcg</t>
  </si>
  <si>
    <t>Ar B.vcg</t>
  </si>
  <si>
    <t>Φ B.vcgsl</t>
  </si>
  <si>
    <t>Tras B.VCG</t>
  </si>
  <si>
    <t>Despla. B.vcg</t>
  </si>
  <si>
    <t>Lastrar ES:</t>
  </si>
  <si>
    <t>Condición tras Lastrar ES:</t>
  </si>
  <si>
    <t>D Lastrar ES</t>
  </si>
  <si>
    <t>VCG Ltr.Es.</t>
  </si>
  <si>
    <t>VCG Ltr.Es.sl</t>
  </si>
  <si>
    <t>LCG Ltr.Es.</t>
  </si>
  <si>
    <t>TCG Ltr.Es.</t>
  </si>
  <si>
    <t>GM Ltr.Es.sl</t>
  </si>
  <si>
    <t>Φe Ltr.Es.</t>
  </si>
  <si>
    <t>Ar Ltr.Es.</t>
  </si>
  <si>
    <t>Φ Ltr.Es.sl</t>
  </si>
  <si>
    <t>Tras Ltr.Es.</t>
  </si>
  <si>
    <t>Despla. Ltr.Es.</t>
  </si>
  <si>
    <t>%V</t>
  </si>
  <si>
    <t>Despla. Trsgo.</t>
  </si>
  <si>
    <t>Nuevo V</t>
  </si>
  <si>
    <t>Variación D</t>
  </si>
  <si>
    <t>V max</t>
  </si>
  <si>
    <t>Trasiego:</t>
  </si>
  <si>
    <t>Condición tras Trasiego, max SL:</t>
  </si>
  <si>
    <t>Condición tras Trasiego, Final:</t>
  </si>
  <si>
    <t>D Trsg. Mx. Sl</t>
  </si>
  <si>
    <t>VCG Trsg.Mx.</t>
  </si>
  <si>
    <t>LCG Trsg.Mx.</t>
  </si>
  <si>
    <t>TCG Trsg.Mx.</t>
  </si>
  <si>
    <t>Φe Trsg.Mx.</t>
  </si>
  <si>
    <t>Ar Trsg.Mx.</t>
  </si>
  <si>
    <t>Φ T.Mx..sl</t>
  </si>
  <si>
    <t>Durante Trsg.</t>
  </si>
  <si>
    <t>Tras Trasiego</t>
  </si>
  <si>
    <t>D Trsg.F.</t>
  </si>
  <si>
    <t>VCG Trsg.F.</t>
  </si>
  <si>
    <t>LCG Trsg.F.</t>
  </si>
  <si>
    <t>TCG Trsg.F.</t>
  </si>
  <si>
    <t>Φe Trsg.F.</t>
  </si>
  <si>
    <t>Ar Trsg.F.</t>
  </si>
  <si>
    <t>Φ Trsg.F.sl</t>
  </si>
  <si>
    <t>VCG T.Mx.sl</t>
  </si>
  <si>
    <t>VCG Trsg.F.sl</t>
  </si>
  <si>
    <t>GM T.Mx.sl</t>
  </si>
  <si>
    <t>GM Trsg.F.sl</t>
  </si>
  <si>
    <t>Tras. Inund.</t>
  </si>
  <si>
    <t>Navegación:</t>
  </si>
  <si>
    <t>RL</t>
  </si>
  <si>
    <t>Limt</t>
  </si>
  <si>
    <t>D Actual:</t>
  </si>
  <si>
    <t>Slc</t>
  </si>
  <si>
    <t>Velocidad</t>
  </si>
  <si>
    <t>Distancia</t>
  </si>
  <si>
    <t>Tiempo</t>
  </si>
  <si>
    <t>Derrota</t>
  </si>
  <si>
    <t>Loxodromica</t>
  </si>
  <si>
    <t>Ortodrómica</t>
  </si>
  <si>
    <t>Límite</t>
  </si>
  <si>
    <t>Desplazamiento Actual</t>
  </si>
  <si>
    <t>Full/Lleno</t>
  </si>
  <si>
    <t>Slack/Parcialmente Lleno</t>
  </si>
  <si>
    <t>Consumos:</t>
  </si>
  <si>
    <t>CMOxd</t>
  </si>
  <si>
    <t>Cap</t>
  </si>
  <si>
    <t>Misc.Oil</t>
  </si>
  <si>
    <t>Misc.Wt</t>
  </si>
  <si>
    <t>FW</t>
  </si>
  <si>
    <t>D Máximos:</t>
  </si>
  <si>
    <t>CH</t>
  </si>
  <si>
    <t>sw</t>
  </si>
  <si>
    <t>bw</t>
  </si>
  <si>
    <t>fw</t>
  </si>
  <si>
    <t>corr x d</t>
  </si>
  <si>
    <t>C</t>
  </si>
  <si>
    <t>CM</t>
  </si>
  <si>
    <t>Calados Act Sal Lleg</t>
  </si>
  <si>
    <t>Arruf</t>
  </si>
  <si>
    <t>Quebr</t>
  </si>
  <si>
    <t>Carga y Reparto:</t>
  </si>
  <si>
    <t>Mx</t>
  </si>
  <si>
    <t>Condición X:</t>
  </si>
  <si>
    <t>Análisis Inundación:</t>
  </si>
  <si>
    <t>Despla.</t>
  </si>
  <si>
    <t>Inund.</t>
  </si>
  <si>
    <t>Inun.</t>
  </si>
  <si>
    <t>B.vcg</t>
  </si>
  <si>
    <t>Ltr.Es.</t>
  </si>
  <si>
    <t>Trsgo.</t>
  </si>
  <si>
    <t>Trsgo.F.</t>
  </si>
  <si>
    <t>Volumen</t>
  </si>
  <si>
    <t>Porcentaje de llenado</t>
  </si>
  <si>
    <t>Factor de estiba</t>
  </si>
  <si>
    <t>Densidad</t>
  </si>
  <si>
    <t>Actual</t>
  </si>
  <si>
    <t>Consumo por día</t>
  </si>
  <si>
    <t>Días máximos</t>
  </si>
  <si>
    <t>Capacidad</t>
  </si>
  <si>
    <t>Días de uso</t>
  </si>
  <si>
    <t>Consumo total</t>
  </si>
  <si>
    <t>Días restantes</t>
  </si>
  <si>
    <t>Llegada</t>
  </si>
  <si>
    <t>LLEG</t>
  </si>
  <si>
    <t>Agua Dulce</t>
  </si>
  <si>
    <t>Calado Hidroestático</t>
  </si>
  <si>
    <t>Agua salada</t>
  </si>
  <si>
    <t>Agua salobre</t>
  </si>
  <si>
    <t>Agua dulce</t>
  </si>
  <si>
    <t>Corregido por densidad</t>
  </si>
  <si>
    <t>Calado</t>
  </si>
  <si>
    <t>Calado en la Marca</t>
  </si>
  <si>
    <t>Calado en la Perpendicular</t>
  </si>
  <si>
    <t>Calado en la Maestra</t>
  </si>
  <si>
    <t>Asiento</t>
  </si>
  <si>
    <t>Calado de Popa</t>
  </si>
  <si>
    <t>Arrufo</t>
  </si>
  <si>
    <t>Quebranto</t>
  </si>
  <si>
    <t>Porcentaje de llenado Actual</t>
  </si>
  <si>
    <t>Máximo</t>
  </si>
  <si>
    <t>Desplazamiento</t>
  </si>
  <si>
    <t>Inundación</t>
  </si>
  <si>
    <t>Bajar centro de gravedad</t>
  </si>
  <si>
    <t>Lastrar a Estribor</t>
  </si>
  <si>
    <t>Trasiego</t>
  </si>
  <si>
    <t>Trasiego Final</t>
  </si>
  <si>
    <t>Orden recomendado:</t>
  </si>
  <si>
    <t>D Actual</t>
  </si>
  <si>
    <t>Condición Actual</t>
  </si>
  <si>
    <t>Navegación</t>
  </si>
  <si>
    <t>D Máximos</t>
  </si>
  <si>
    <t>Consumos</t>
  </si>
  <si>
    <t>Consumos diarios</t>
  </si>
  <si>
    <t>Carga Y Reparto</t>
  </si>
  <si>
    <t>Carga</t>
  </si>
  <si>
    <t>Distribución consumos</t>
  </si>
  <si>
    <t>Reparto</t>
  </si>
  <si>
    <t>Condición Salida</t>
  </si>
  <si>
    <t>Condición Llegada</t>
  </si>
  <si>
    <t>Distribución Original de pesos</t>
  </si>
  <si>
    <t>Estado del buque inicial</t>
  </si>
  <si>
    <t>Planificación de la derrota (Puerto de origen y velocidad)</t>
  </si>
  <si>
    <t>Planificación de la derrota (Puerto de destino y selección metodo de navegación)</t>
  </si>
  <si>
    <t>Datos puerto de Salida y de Llegada y cambio de zona (Si aplica)</t>
  </si>
  <si>
    <t>Estado del buque a la Salida</t>
  </si>
  <si>
    <t>Estado del buque a la Llegada</t>
  </si>
  <si>
    <t>Consumos Diarios</t>
  </si>
  <si>
    <t>Distribución Consumos</t>
  </si>
  <si>
    <t>Condición ACT</t>
  </si>
  <si>
    <t>Condición SAL</t>
  </si>
  <si>
    <t>Condición LLEG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</si>
</sst>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"/>
    <numFmt numFmtId="165" formatCode="0.0"/>
    <numFmt numFmtId="166" formatCode="0.0000"/>
    <numFmt numFmtId="167" formatCode="0.000000"/>
    <numFmt numFmtId="168" formatCode="0.0%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70C0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rgb="FF223B82"/>
      <name val="Calibri"/>
      <family val="2"/>
    </font>
    <font>
      <sz val="11"/>
      <color rgb="FF223B82"/>
      <name val="Calibri"/>
      <family val="2"/>
    </font>
    <font>
      <b/>
      <sz val="11"/>
      <color rgb="FFFF43AA"/>
      <name val="Calibri"/>
      <family val="2"/>
    </font>
    <font>
      <sz val="11"/>
      <color rgb="FFFF43AA"/>
      <name val="Calibri"/>
      <family val="2"/>
    </font>
    <font>
      <sz val="11"/>
      <color rgb="FFFF00FF"/>
      <name val="Calibri"/>
      <family val="2"/>
    </font>
    <font>
      <sz val="11"/>
      <color rgb="FF223B82"/>
      <name val="Aptos Narrow"/>
      <family val="2"/>
      <scheme val="minor"/>
    </font>
    <font>
      <sz val="11"/>
      <color rgb="FFC00069"/>
      <name val="Aptos Narrow"/>
      <family val="2"/>
      <scheme val="minor"/>
    </font>
    <font>
      <sz val="11"/>
      <color rgb="FFE2007D"/>
      <name val="Calibri"/>
      <family val="2"/>
    </font>
    <font>
      <sz val="11"/>
      <color rgb="FFC00069"/>
      <name val="Calibri"/>
      <family val="2"/>
    </font>
    <font>
      <sz val="8"/>
      <color rgb="FFFF43AA"/>
      <name val="Calibri"/>
      <family val="2"/>
    </font>
    <font>
      <sz val="8"/>
      <color rgb="FFFF43AA"/>
      <name val="Aptos Narrow"/>
      <family val="2"/>
      <scheme val="minor"/>
    </font>
    <font>
      <sz val="11"/>
      <color rgb="FFFF43AA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sz val="10"/>
      <color theme="1"/>
      <name val="Segoe UI"/>
      <family val="2"/>
    </font>
    <font>
      <sz val="11"/>
      <color theme="0"/>
      <name val="Aptos Narrow"/>
      <family val="2"/>
      <scheme val="minor"/>
    </font>
    <font>
      <sz val="8"/>
      <color theme="0"/>
      <name val="Calibri"/>
      <family val="2"/>
    </font>
    <font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E2007D"/>
        <bgColor indexed="64"/>
      </patternFill>
    </fill>
    <fill>
      <patternFill patternType="solid">
        <fgColor rgb="FF223B82"/>
        <bgColor indexed="64"/>
      </patternFill>
    </fill>
    <fill>
      <patternFill patternType="solid">
        <fgColor rgb="FF5D7CD5"/>
        <bgColor indexed="64"/>
      </patternFill>
    </fill>
    <fill>
      <patternFill patternType="solid">
        <fgColor rgb="FFFF71BF"/>
        <bgColor indexed="64"/>
      </patternFill>
    </fill>
    <fill>
      <patternFill patternType="solid">
        <fgColor rgb="FFC00069"/>
        <bgColor indexed="64"/>
      </patternFill>
    </fill>
    <fill>
      <patternFill patternType="solid">
        <fgColor rgb="FF355C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FD4"/>
        <bgColor indexed="64"/>
      </patternFill>
    </fill>
    <fill>
      <patternFill patternType="solid">
        <fgColor rgb="FFB9C7ED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9E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1" fillId="4" borderId="0" xfId="0" applyFont="1" applyFill="1"/>
    <xf numFmtId="0" fontId="7" fillId="5" borderId="0" xfId="0" applyFont="1" applyFill="1"/>
    <xf numFmtId="2" fontId="6" fillId="6" borderId="1" xfId="0" applyNumberFormat="1" applyFont="1" applyFill="1" applyBorder="1" applyProtection="1">
      <protection locked="0"/>
    </xf>
    <xf numFmtId="164" fontId="3" fillId="8" borderId="1" xfId="0" applyNumberFormat="1" applyFont="1" applyFill="1" applyBorder="1" applyProtection="1">
      <protection locked="0"/>
    </xf>
    <xf numFmtId="0" fontId="3" fillId="5" borderId="0" xfId="0" applyFont="1" applyFill="1"/>
    <xf numFmtId="0" fontId="9" fillId="7" borderId="0" xfId="0" applyFont="1" applyFill="1"/>
    <xf numFmtId="0" fontId="0" fillId="9" borderId="0" xfId="0" applyFill="1"/>
    <xf numFmtId="0" fontId="1" fillId="9" borderId="0" xfId="0" applyFont="1" applyFill="1"/>
    <xf numFmtId="0" fontId="8" fillId="0" borderId="0" xfId="0" applyFont="1"/>
    <xf numFmtId="0" fontId="5" fillId="9" borderId="0" xfId="0" applyFont="1" applyFill="1"/>
    <xf numFmtId="0" fontId="7" fillId="9" borderId="0" xfId="0" applyFont="1" applyFill="1"/>
    <xf numFmtId="2" fontId="6" fillId="9" borderId="0" xfId="0" applyNumberFormat="1" applyFont="1" applyFill="1" applyProtection="1">
      <protection locked="0"/>
    </xf>
    <xf numFmtId="0" fontId="8" fillId="9" borderId="0" xfId="0" applyFont="1" applyFill="1"/>
    <xf numFmtId="0" fontId="2" fillId="9" borderId="0" xfId="0" applyFont="1" applyFill="1" applyAlignment="1">
      <alignment horizontal="right"/>
    </xf>
    <xf numFmtId="2" fontId="8" fillId="9" borderId="0" xfId="0" applyNumberFormat="1" applyFont="1" applyFill="1"/>
    <xf numFmtId="164" fontId="3" fillId="9" borderId="0" xfId="0" applyNumberFormat="1" applyFont="1" applyFill="1" applyProtection="1">
      <protection locked="0"/>
    </xf>
    <xf numFmtId="0" fontId="0" fillId="4" borderId="0" xfId="0" applyFill="1"/>
    <xf numFmtId="0" fontId="10" fillId="10" borderId="0" xfId="0" applyFont="1" applyFill="1"/>
    <xf numFmtId="0" fontId="6" fillId="10" borderId="0" xfId="0" applyFont="1" applyFill="1"/>
    <xf numFmtId="0" fontId="11" fillId="11" borderId="0" xfId="0" applyFont="1" applyFill="1"/>
    <xf numFmtId="0" fontId="13" fillId="11" borderId="0" xfId="0" applyFont="1" applyFill="1"/>
    <xf numFmtId="0" fontId="12" fillId="11" borderId="0" xfId="0" applyFont="1" applyFill="1"/>
    <xf numFmtId="2" fontId="8" fillId="0" borderId="0" xfId="0" applyNumberFormat="1" applyFont="1"/>
    <xf numFmtId="0" fontId="3" fillId="9" borderId="0" xfId="0" applyFont="1" applyFill="1"/>
    <xf numFmtId="164" fontId="8" fillId="0" borderId="0" xfId="0" applyNumberFormat="1" applyFont="1"/>
    <xf numFmtId="164" fontId="8" fillId="2" borderId="0" xfId="0" applyNumberFormat="1" applyFont="1" applyFill="1"/>
    <xf numFmtId="2" fontId="0" fillId="9" borderId="0" xfId="0" applyNumberFormat="1" applyFill="1"/>
    <xf numFmtId="0" fontId="7" fillId="11" borderId="0" xfId="0" applyFont="1" applyFill="1"/>
    <xf numFmtId="0" fontId="17" fillId="11" borderId="0" xfId="0" applyFont="1" applyFill="1"/>
    <xf numFmtId="2" fontId="12" fillId="12" borderId="0" xfId="0" applyNumberFormat="1" applyFont="1" applyFill="1"/>
    <xf numFmtId="0" fontId="12" fillId="10" borderId="0" xfId="0" applyFont="1" applyFill="1"/>
    <xf numFmtId="165" fontId="12" fillId="10" borderId="0" xfId="0" applyNumberFormat="1" applyFont="1" applyFill="1"/>
    <xf numFmtId="165" fontId="8" fillId="2" borderId="0" xfId="0" applyNumberFormat="1" applyFont="1" applyFill="1"/>
    <xf numFmtId="0" fontId="12" fillId="10" borderId="0" xfId="0" applyFont="1" applyFill="1" applyAlignment="1">
      <alignment horizontal="right"/>
    </xf>
    <xf numFmtId="0" fontId="12" fillId="9" borderId="0" xfId="0" applyFont="1" applyFill="1"/>
    <xf numFmtId="165" fontId="12" fillId="9" borderId="0" xfId="0" applyNumberFormat="1" applyFont="1" applyFill="1"/>
    <xf numFmtId="0" fontId="4" fillId="4" borderId="0" xfId="0" applyFont="1" applyFill="1"/>
    <xf numFmtId="0" fontId="19" fillId="0" borderId="0" xfId="0" applyFont="1"/>
    <xf numFmtId="164" fontId="12" fillId="10" borderId="0" xfId="0" applyNumberFormat="1" applyFont="1" applyFill="1"/>
    <xf numFmtId="164" fontId="0" fillId="9" borderId="0" xfId="0" applyNumberFormat="1" applyFill="1"/>
    <xf numFmtId="164" fontId="12" fillId="12" borderId="0" xfId="0" applyNumberFormat="1" applyFont="1" applyFill="1"/>
    <xf numFmtId="0" fontId="12" fillId="12" borderId="0" xfId="0" applyFont="1" applyFill="1"/>
    <xf numFmtId="2" fontId="12" fillId="10" borderId="0" xfId="0" applyNumberFormat="1" applyFont="1" applyFill="1"/>
    <xf numFmtId="166" fontId="3" fillId="5" borderId="0" xfId="0" applyNumberFormat="1" applyFont="1" applyFill="1"/>
    <xf numFmtId="2" fontId="7" fillId="9" borderId="0" xfId="0" applyNumberFormat="1" applyFont="1" applyFill="1"/>
    <xf numFmtId="165" fontId="3" fillId="5" borderId="0" xfId="0" applyNumberFormat="1" applyFont="1" applyFill="1"/>
    <xf numFmtId="166" fontId="12" fillId="10" borderId="0" xfId="0" applyNumberFormat="1" applyFont="1" applyFill="1"/>
    <xf numFmtId="167" fontId="12" fillId="10" borderId="0" xfId="0" applyNumberFormat="1" applyFont="1" applyFill="1"/>
    <xf numFmtId="0" fontId="20" fillId="9" borderId="0" xfId="0" applyFont="1" applyFill="1"/>
    <xf numFmtId="0" fontId="6" fillId="4" borderId="0" xfId="0" applyFont="1" applyFill="1"/>
    <xf numFmtId="0" fontId="17" fillId="5" borderId="0" xfId="0" applyFont="1" applyFill="1"/>
    <xf numFmtId="0" fontId="17" fillId="3" borderId="0" xfId="0" applyFont="1" applyFill="1"/>
    <xf numFmtId="0" fontId="17" fillId="4" borderId="0" xfId="0" applyFont="1" applyFill="1"/>
    <xf numFmtId="0" fontId="6" fillId="13" borderId="2" xfId="0" applyFont="1" applyFill="1" applyBorder="1"/>
    <xf numFmtId="2" fontId="12" fillId="0" borderId="0" xfId="0" applyNumberFormat="1" applyFont="1"/>
    <xf numFmtId="0" fontId="17" fillId="3" borderId="1" xfId="0" applyFont="1" applyFill="1" applyBorder="1"/>
    <xf numFmtId="0" fontId="17" fillId="3" borderId="3" xfId="0" applyFont="1" applyFill="1" applyBorder="1"/>
    <xf numFmtId="0" fontId="6" fillId="13" borderId="0" xfId="0" applyFont="1" applyFill="1"/>
    <xf numFmtId="0" fontId="6" fillId="13" borderId="4" xfId="0" applyFont="1" applyFill="1" applyBorder="1"/>
    <xf numFmtId="2" fontId="17" fillId="5" borderId="0" xfId="0" applyNumberFormat="1" applyFont="1" applyFill="1"/>
    <xf numFmtId="165" fontId="17" fillId="5" borderId="0" xfId="0" applyNumberFormat="1" applyFont="1" applyFill="1"/>
    <xf numFmtId="0" fontId="17" fillId="13" borderId="5" xfId="0" applyFont="1" applyFill="1" applyBorder="1"/>
    <xf numFmtId="168" fontId="12" fillId="0" borderId="0" xfId="1" applyNumberFormat="1" applyFont="1"/>
    <xf numFmtId="9" fontId="6" fillId="13" borderId="4" xfId="1" applyFont="1" applyFill="1" applyBorder="1"/>
    <xf numFmtId="2" fontId="6" fillId="13" borderId="4" xfId="1" applyNumberFormat="1" applyFont="1" applyFill="1" applyBorder="1"/>
    <xf numFmtId="0" fontId="0" fillId="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6" fillId="13" borderId="4" xfId="0" applyNumberFormat="1" applyFont="1" applyFill="1" applyBorder="1"/>
    <xf numFmtId="2" fontId="6" fillId="13" borderId="4" xfId="0" applyNumberFormat="1" applyFont="1" applyFill="1" applyBorder="1"/>
  </cellXfs>
  <cellStyles count="2">
    <cellStyle name="Normal" xfId="0" builtinId="0"/>
    <cellStyle name="Porcentaje" xfId="1" builtinId="5"/>
  </cellStyles>
  <dxfs count="461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color theme="0"/>
        <name val="Calibri"/>
        <family val="2"/>
        <scheme val="none"/>
      </font>
      <fill>
        <patternFill patternType="solid">
          <fgColor indexed="64"/>
          <bgColor rgb="FF5D7CD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color theme="0"/>
        <name val="Calibri"/>
        <family val="2"/>
        <scheme val="none"/>
      </font>
      <fill>
        <patternFill patternType="solid">
          <fgColor indexed="64"/>
          <bgColor rgb="FF5D7CD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color rgb="FFC00069"/>
      </font>
      <fill>
        <patternFill>
          <bgColor rgb="FFB9C7ED"/>
        </patternFill>
      </fill>
    </dxf>
    <dxf>
      <font>
        <color rgb="FF223B82"/>
      </font>
      <fill>
        <patternFill>
          <bgColor rgb="FFFF9FD4"/>
        </patternFill>
      </fill>
    </dxf>
  </dxfs>
  <tableStyles count="1" defaultTableStyle="TableStyleMedium2" defaultPivotStyle="PivotStyleLight16">
    <tableStyle name="Estilo de tabla 1" pivot="0" count="2" xr9:uid="{C9339829-0C2D-416E-A788-E944C331BB9A}">
      <tableStyleElement type="firstRowStripe" dxfId="460"/>
      <tableStyleElement type="secondRowStripe" dxfId="459"/>
    </tableStyle>
  </tableStyles>
  <colors>
    <mruColors>
      <color rgb="FF223B82"/>
      <color rgb="FFE2007D"/>
      <color rgb="FFFFC9E7"/>
      <color rgb="FF5D7CD5"/>
      <color rgb="FFFF9FD4"/>
      <color rgb="FFFF43AA"/>
      <color rgb="FFFF1D99"/>
      <color rgb="FFB9C7ED"/>
      <color rgb="FFFF00FF"/>
      <color rgb="FFC000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E2007D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977714779827072E-2"/>
          <c:y val="0.13162490768810362"/>
          <c:w val="0.87570244312677548"/>
          <c:h val="0.758428894809229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'Condición Actual'!$F$40</c:f>
              <c:strCache>
                <c:ptCount val="1"/>
                <c:pt idx="0">
                  <c:v>GZ</c:v>
                </c:pt>
              </c:strCache>
            </c:strRef>
          </c:tx>
          <c:spPr>
            <a:ln w="22225" cap="rnd">
              <a:solidFill>
                <a:srgbClr val="E2007D"/>
              </a:solidFill>
              <a:round/>
            </a:ln>
            <a:effectLst/>
          </c:spPr>
          <c:marker>
            <c:symbol val="none"/>
          </c:marker>
          <c:xVal>
            <c:numRef>
              <c:f>'Condición Actual'!$G$36:$P$36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'Condición Actual'!$G$40:$P$40</c:f>
              <c:numCache>
                <c:formatCode>General</c:formatCode>
                <c:ptCount val="10"/>
                <c:pt idx="0">
                  <c:v>-3.1179788842937216E-3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C-44AC-84E4-308F2D14D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852495"/>
        <c:axId val="2135840975"/>
      </c:scatterChart>
      <c:valAx>
        <c:axId val="21358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23B8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40975"/>
        <c:crosses val="autoZero"/>
        <c:crossBetween val="midCat"/>
      </c:valAx>
      <c:valAx>
        <c:axId val="21358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200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52495"/>
        <c:crosses val="autoZero"/>
        <c:crossBetween val="midCat"/>
      </c:valAx>
      <c:spPr>
        <a:noFill/>
        <a:ln w="19050">
          <a:solidFill>
            <a:srgbClr val="223B82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E2007D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977714779827072E-2"/>
          <c:y val="0.13162490768810362"/>
          <c:w val="0.87570244312677548"/>
          <c:h val="0.758428894809229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'Condición Salida'!$F$40</c:f>
              <c:strCache>
                <c:ptCount val="1"/>
                <c:pt idx="0">
                  <c:v>GZ</c:v>
                </c:pt>
              </c:strCache>
            </c:strRef>
          </c:tx>
          <c:spPr>
            <a:ln w="22225" cap="rnd">
              <a:solidFill>
                <a:srgbClr val="E2007D"/>
              </a:solidFill>
              <a:round/>
            </a:ln>
            <a:effectLst/>
          </c:spPr>
          <c:marker>
            <c:symbol val="none"/>
          </c:marker>
          <c:xVal>
            <c:numRef>
              <c:f>'Condición Salida'!$G$36:$P$36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'Condición Salida'!$G$40:$P$40</c:f>
              <c:numCache>
                <c:formatCode>General</c:formatCode>
                <c:ptCount val="10"/>
                <c:pt idx="0">
                  <c:v>-6.6479856219461012E-5</c:v>
                </c:pt>
                <c:pt idx="1">
                  <c:v>0.3211556384614242</c:v>
                </c:pt>
                <c:pt idx="2">
                  <c:v>0.6601183533462408</c:v>
                </c:pt>
                <c:pt idx="3">
                  <c:v>0.80195578714329596</c:v>
                </c:pt>
                <c:pt idx="4">
                  <c:v>1.4339185294935861</c:v>
                </c:pt>
                <c:pt idx="5">
                  <c:v>2.2698827725305146</c:v>
                </c:pt>
                <c:pt idx="6">
                  <c:v>2.6870565448659733</c:v>
                </c:pt>
                <c:pt idx="7">
                  <c:v>2.6968501125027897</c:v>
                </c:pt>
                <c:pt idx="8">
                  <c:v>2.2951589011886071</c:v>
                </c:pt>
                <c:pt idx="9">
                  <c:v>1.2888508655452628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AC-4945-9A7E-E48802573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852495"/>
        <c:axId val="2135840975"/>
      </c:scatterChart>
      <c:valAx>
        <c:axId val="21358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23B8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40975"/>
        <c:crosses val="autoZero"/>
        <c:crossBetween val="midCat"/>
      </c:valAx>
      <c:valAx>
        <c:axId val="21358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200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52495"/>
        <c:crosses val="autoZero"/>
        <c:crossBetween val="midCat"/>
      </c:valAx>
      <c:spPr>
        <a:noFill/>
        <a:ln w="19050">
          <a:solidFill>
            <a:srgbClr val="223B82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E2007D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977714779827072E-2"/>
          <c:y val="0.13162490768810362"/>
          <c:w val="0.87570244312677548"/>
          <c:h val="0.758428894809229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'Condición Día D'!$F$40</c:f>
              <c:strCache>
                <c:ptCount val="1"/>
                <c:pt idx="0">
                  <c:v>GZ</c:v>
                </c:pt>
              </c:strCache>
            </c:strRef>
          </c:tx>
          <c:spPr>
            <a:ln w="22225" cap="rnd">
              <a:solidFill>
                <a:srgbClr val="E2007D"/>
              </a:solidFill>
              <a:round/>
            </a:ln>
            <a:effectLst/>
          </c:spPr>
          <c:marker>
            <c:symbol val="none"/>
          </c:marker>
          <c:xVal>
            <c:numRef>
              <c:f>'Condición Día D'!$G$36:$P$36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'Condición Día D'!$G$40:$P$40</c:f>
              <c:numCache>
                <c:formatCode>General</c:formatCode>
                <c:ptCount val="10"/>
                <c:pt idx="0">
                  <c:v>-3.5836044487013725E-2</c:v>
                </c:pt>
                <c:pt idx="1">
                  <c:v>0.28731981391916006</c:v>
                </c:pt>
                <c:pt idx="2">
                  <c:v>0.62848060295575237</c:v>
                </c:pt>
                <c:pt idx="3">
                  <c:v>0.77127902704774742</c:v>
                </c:pt>
                <c:pt idx="4">
                  <c:v>1.4077968759260064</c:v>
                </c:pt>
                <c:pt idx="5">
                  <c:v>2.2575226756642355</c:v>
                </c:pt>
                <c:pt idx="6">
                  <c:v>2.6793007634754882</c:v>
                </c:pt>
                <c:pt idx="7">
                  <c:v>2.6934327702513658</c:v>
                </c:pt>
                <c:pt idx="8">
                  <c:v>2.2965379536457902</c:v>
                </c:pt>
                <c:pt idx="9">
                  <c:v>1.2954071704473731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99-4D5E-92AD-93FCC2D62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852495"/>
        <c:axId val="2135840975"/>
      </c:scatterChart>
      <c:valAx>
        <c:axId val="21358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23B8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40975"/>
        <c:crosses val="autoZero"/>
        <c:crossBetween val="midCat"/>
      </c:valAx>
      <c:valAx>
        <c:axId val="21358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200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52495"/>
        <c:crosses val="autoZero"/>
        <c:crossBetween val="midCat"/>
      </c:valAx>
      <c:spPr>
        <a:noFill/>
        <a:ln w="19050">
          <a:solidFill>
            <a:srgbClr val="223B82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E2007D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977714779827072E-2"/>
          <c:y val="0.13162490768810362"/>
          <c:w val="0.87570244312677548"/>
          <c:h val="0.758428894809229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'Condición Llegada'!$F$40</c:f>
              <c:strCache>
                <c:ptCount val="1"/>
                <c:pt idx="0">
                  <c:v>GZ</c:v>
                </c:pt>
              </c:strCache>
            </c:strRef>
          </c:tx>
          <c:spPr>
            <a:ln w="22225" cap="rnd">
              <a:solidFill>
                <a:srgbClr val="E2007D"/>
              </a:solidFill>
              <a:round/>
            </a:ln>
            <a:effectLst/>
          </c:spPr>
          <c:marker>
            <c:symbol val="none"/>
          </c:marker>
          <c:xVal>
            <c:numRef>
              <c:f>'Condición Llegada'!$G$36:$P$36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'Condición Llegada'!$G$40:$P$40</c:f>
              <c:numCache>
                <c:formatCode>General</c:formatCode>
                <c:ptCount val="10"/>
                <c:pt idx="0">
                  <c:v>-2.9747087679007508E-2</c:v>
                </c:pt>
                <c:pt idx="1">
                  <c:v>0.29577475169642437</c:v>
                </c:pt>
                <c:pt idx="2">
                  <c:v>0.63924695708776802</c:v>
                </c:pt>
                <c:pt idx="3">
                  <c:v>0.7830814437947855</c:v>
                </c:pt>
                <c:pt idx="4">
                  <c:v>1.4236343020322</c:v>
                </c:pt>
                <c:pt idx="5">
                  <c:v>2.2883976059663249</c:v>
                </c:pt>
                <c:pt idx="6">
                  <c:v>2.7107549203470169</c:v>
                </c:pt>
                <c:pt idx="7">
                  <c:v>2.7237581024699837</c:v>
                </c:pt>
                <c:pt idx="8">
                  <c:v>2.3253319655414026</c:v>
                </c:pt>
                <c:pt idx="9">
                  <c:v>1.3175708765721488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8B-47D7-9418-39BC410C5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852495"/>
        <c:axId val="2135840975"/>
      </c:scatterChart>
      <c:valAx>
        <c:axId val="21358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23B8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40975"/>
        <c:crosses val="autoZero"/>
        <c:crossBetween val="midCat"/>
      </c:valAx>
      <c:valAx>
        <c:axId val="21358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200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52495"/>
        <c:crosses val="autoZero"/>
        <c:crossBetween val="midCat"/>
      </c:valAx>
      <c:spPr>
        <a:noFill/>
        <a:ln w="19050">
          <a:solidFill>
            <a:srgbClr val="223B82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E2007D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977714779827072E-2"/>
          <c:y val="0.13162490768810362"/>
          <c:w val="0.87570244312677548"/>
          <c:h val="0.75842889480922959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rgbClr val="E2007D"/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Inundación'!$F$127:$O$127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Inundación'!$F$131:$O$131</c:f>
              <c:numCache>
                <c:formatCode>General</c:formatCode>
                <c:ptCount val="10"/>
                <c:pt idx="0">
                  <c:v>-1.3896190926975112</c:v>
                </c:pt>
                <c:pt idx="1">
                  <c:v>-1.0292131843176788</c:v>
                </c:pt>
                <c:pt idx="2">
                  <c:v>-0.64123797669064597</c:v>
                </c:pt>
                <c:pt idx="3">
                  <c:v>-0.47672284852895364</c:v>
                </c:pt>
                <c:pt idx="4">
                  <c:v>0.25200771933650179</c:v>
                </c:pt>
                <c:pt idx="5">
                  <c:v>0.98424418493625487</c:v>
                </c:pt>
                <c:pt idx="6">
                  <c:v>1.6185309717952185</c:v>
                </c:pt>
                <c:pt idx="7">
                  <c:v>1.8838977399982086</c:v>
                </c:pt>
                <c:pt idx="8">
                  <c:v>1.7920724150119778</c:v>
                </c:pt>
                <c:pt idx="9">
                  <c:v>1.3120971910654509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DEA-4F85-8A10-726A21B09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852495"/>
        <c:axId val="2135840975"/>
      </c:scatterChart>
      <c:valAx>
        <c:axId val="21358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23B8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40975"/>
        <c:crosses val="autoZero"/>
        <c:crossBetween val="midCat"/>
      </c:valAx>
      <c:valAx>
        <c:axId val="21358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200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52495"/>
        <c:crosses val="autoZero"/>
        <c:crossBetween val="midCat"/>
      </c:valAx>
      <c:spPr>
        <a:noFill/>
        <a:ln w="19050">
          <a:solidFill>
            <a:srgbClr val="223B82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E2007D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977714779827072E-2"/>
          <c:y val="0.13162490768810362"/>
          <c:w val="0.87570244312677548"/>
          <c:h val="0.75842889480922959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rgbClr val="E2007D"/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Inundación'!$Y$127:$AH$127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Inundación'!$Y$131:$AH$131</c:f>
              <c:numCache>
                <c:formatCode>General</c:formatCode>
                <c:ptCount val="10"/>
                <c:pt idx="0">
                  <c:v>-1.0438164292438874</c:v>
                </c:pt>
                <c:pt idx="1">
                  <c:v>-0.65625586385882595</c:v>
                </c:pt>
                <c:pt idx="2">
                  <c:v>-0.24464417655002801</c:v>
                </c:pt>
                <c:pt idx="3">
                  <c:v>-7.1716519859263528E-2</c:v>
                </c:pt>
                <c:pt idx="4">
                  <c:v>0.67137118677941587</c:v>
                </c:pt>
                <c:pt idx="5">
                  <c:v>1.3406155703890086</c:v>
                </c:pt>
                <c:pt idx="6">
                  <c:v>1.9616209098189474</c:v>
                </c:pt>
                <c:pt idx="7">
                  <c:v>2.2296676324168585</c:v>
                </c:pt>
                <c:pt idx="8">
                  <c:v>2.1498436689331664</c:v>
                </c:pt>
                <c:pt idx="9">
                  <c:v>1.6731604603355525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0A-4150-961D-366E4079AF6B}"/>
            </c:ext>
          </c:extLst>
        </c:ser>
        <c:ser>
          <c:idx val="1"/>
          <c:order val="1"/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Inundación'!$F$127:$O$127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Inundación'!$F$131:$O$131</c:f>
              <c:numCache>
                <c:formatCode>General</c:formatCode>
                <c:ptCount val="10"/>
                <c:pt idx="0">
                  <c:v>-1.3896190926975112</c:v>
                </c:pt>
                <c:pt idx="1">
                  <c:v>-1.0292131843176788</c:v>
                </c:pt>
                <c:pt idx="2">
                  <c:v>-0.64123797669064597</c:v>
                </c:pt>
                <c:pt idx="3">
                  <c:v>-0.47672284852895364</c:v>
                </c:pt>
                <c:pt idx="4">
                  <c:v>0.25200771933650179</c:v>
                </c:pt>
                <c:pt idx="5">
                  <c:v>0.98424418493625487</c:v>
                </c:pt>
                <c:pt idx="6">
                  <c:v>1.6185309717952185</c:v>
                </c:pt>
                <c:pt idx="7">
                  <c:v>1.8838977399982086</c:v>
                </c:pt>
                <c:pt idx="8">
                  <c:v>1.7920724150119778</c:v>
                </c:pt>
                <c:pt idx="9">
                  <c:v>1.3120971910654509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1D-497D-88B4-456CED067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852495"/>
        <c:axId val="2135840975"/>
      </c:scatterChart>
      <c:valAx>
        <c:axId val="21358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23B8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40975"/>
        <c:crosses val="autoZero"/>
        <c:crossBetween val="midCat"/>
      </c:valAx>
      <c:valAx>
        <c:axId val="21358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200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52495"/>
        <c:crosses val="autoZero"/>
        <c:crossBetween val="midCat"/>
      </c:valAx>
      <c:spPr>
        <a:noFill/>
        <a:ln w="19050">
          <a:solidFill>
            <a:srgbClr val="223B82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E2007D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977714779827072E-2"/>
          <c:y val="0.13162490768810362"/>
          <c:w val="0.87570244312677548"/>
          <c:h val="0.75842889480922959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rgbClr val="E2007D"/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Inundación'!$AR$127:$BA$127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Inundación'!$AR$131:$BA$131</c:f>
              <c:numCache>
                <c:formatCode>General</c:formatCode>
                <c:ptCount val="10"/>
                <c:pt idx="0">
                  <c:v>-0.21529474146660835</c:v>
                </c:pt>
                <c:pt idx="1">
                  <c:v>0.16315201407088076</c:v>
                </c:pt>
                <c:pt idx="2">
                  <c:v>0.56011818932473645</c:v>
                </c:pt>
                <c:pt idx="3">
                  <c:v>0.7244798189675361</c:v>
                </c:pt>
                <c:pt idx="4">
                  <c:v>1.3699942337310311</c:v>
                </c:pt>
                <c:pt idx="5">
                  <c:v>1.8762904767736799</c:v>
                </c:pt>
                <c:pt idx="6">
                  <c:v>2.3414488157123539</c:v>
                </c:pt>
                <c:pt idx="7">
                  <c:v>2.4991171481823615</c:v>
                </c:pt>
                <c:pt idx="8">
                  <c:v>2.3368745213959747</c:v>
                </c:pt>
                <c:pt idx="9">
                  <c:v>1.7340885875007603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EA-4FE8-94CA-87651C0BDD88}"/>
            </c:ext>
          </c:extLst>
        </c:ser>
        <c:ser>
          <c:idx val="1"/>
          <c:order val="1"/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Inundación'!$F$127:$O$127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Inundación'!$F$131:$O$131</c:f>
              <c:numCache>
                <c:formatCode>General</c:formatCode>
                <c:ptCount val="10"/>
                <c:pt idx="0">
                  <c:v>-1.3896190926975112</c:v>
                </c:pt>
                <c:pt idx="1">
                  <c:v>-1.0292131843176788</c:v>
                </c:pt>
                <c:pt idx="2">
                  <c:v>-0.64123797669064597</c:v>
                </c:pt>
                <c:pt idx="3">
                  <c:v>-0.47672284852895364</c:v>
                </c:pt>
                <c:pt idx="4">
                  <c:v>0.25200771933650179</c:v>
                </c:pt>
                <c:pt idx="5">
                  <c:v>0.98424418493625487</c:v>
                </c:pt>
                <c:pt idx="6">
                  <c:v>1.6185309717952185</c:v>
                </c:pt>
                <c:pt idx="7">
                  <c:v>1.8838977399982086</c:v>
                </c:pt>
                <c:pt idx="8">
                  <c:v>1.7920724150119778</c:v>
                </c:pt>
                <c:pt idx="9">
                  <c:v>1.3120971910654509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D1-4D31-BFDF-319B96F2E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852495"/>
        <c:axId val="2135840975"/>
      </c:scatterChart>
      <c:valAx>
        <c:axId val="21358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23B8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40975"/>
        <c:crosses val="autoZero"/>
        <c:crossBetween val="midCat"/>
      </c:valAx>
      <c:valAx>
        <c:axId val="21358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200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52495"/>
        <c:crosses val="autoZero"/>
        <c:crossBetween val="midCat"/>
      </c:valAx>
      <c:spPr>
        <a:noFill/>
        <a:ln w="19050">
          <a:solidFill>
            <a:srgbClr val="223B82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E2007D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977714779827072E-2"/>
          <c:y val="0.13162490768810362"/>
          <c:w val="0.87570244312677548"/>
          <c:h val="0.75842889480922959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rgbClr val="E2007D"/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Inundación'!$BK$129:$BT$129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Inundación'!$BK$133:$BT$133</c:f>
              <c:numCache>
                <c:formatCode>General</c:formatCode>
                <c:ptCount val="10"/>
                <c:pt idx="0">
                  <c:v>-1.3610785530327565</c:v>
                </c:pt>
                <c:pt idx="1">
                  <c:v>-1.0007038337457772</c:v>
                </c:pt>
                <c:pt idx="2">
                  <c:v>-0.61297667501817776</c:v>
                </c:pt>
                <c:pt idx="3">
                  <c:v>-0.44862115156858384</c:v>
                </c:pt>
                <c:pt idx="4">
                  <c:v>0.27913084531593579</c:v>
                </c:pt>
                <c:pt idx="5">
                  <c:v>1.0094027101239453</c:v>
                </c:pt>
                <c:pt idx="6">
                  <c:v>1.640962547548271</c:v>
                </c:pt>
                <c:pt idx="7">
                  <c:v>1.9029212586313302</c:v>
                </c:pt>
                <c:pt idx="8">
                  <c:v>1.8071103244080016</c:v>
                </c:pt>
                <c:pt idx="9">
                  <c:v>1.3203417925917862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99-486D-BF57-F98305E7B6BB}"/>
            </c:ext>
          </c:extLst>
        </c:ser>
        <c:ser>
          <c:idx val="1"/>
          <c:order val="1"/>
          <c:spPr>
            <a:ln w="222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Inundación'!$F$127:$O$127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Inundación'!$F$131:$O$131</c:f>
              <c:numCache>
                <c:formatCode>General</c:formatCode>
                <c:ptCount val="10"/>
                <c:pt idx="0">
                  <c:v>-1.3896190926975112</c:v>
                </c:pt>
                <c:pt idx="1">
                  <c:v>-1.0292131843176788</c:v>
                </c:pt>
                <c:pt idx="2">
                  <c:v>-0.64123797669064597</c:v>
                </c:pt>
                <c:pt idx="3">
                  <c:v>-0.47672284852895364</c:v>
                </c:pt>
                <c:pt idx="4">
                  <c:v>0.25200771933650179</c:v>
                </c:pt>
                <c:pt idx="5">
                  <c:v>0.98424418493625487</c:v>
                </c:pt>
                <c:pt idx="6">
                  <c:v>1.6185309717952185</c:v>
                </c:pt>
                <c:pt idx="7">
                  <c:v>1.8838977399982086</c:v>
                </c:pt>
                <c:pt idx="8">
                  <c:v>1.7920724150119778</c:v>
                </c:pt>
                <c:pt idx="9">
                  <c:v>1.3120971910654509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B8-4B0A-8082-5D51E2DF0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852495"/>
        <c:axId val="2135840975"/>
      </c:scatterChart>
      <c:valAx>
        <c:axId val="21358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23B8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40975"/>
        <c:crosses val="autoZero"/>
        <c:crossBetween val="midCat"/>
      </c:valAx>
      <c:valAx>
        <c:axId val="21358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200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52495"/>
        <c:crosses val="autoZero"/>
        <c:crossBetween val="midCat"/>
      </c:valAx>
      <c:spPr>
        <a:noFill/>
        <a:ln w="19050">
          <a:solidFill>
            <a:srgbClr val="223B82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E2007D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977714779827072E-2"/>
          <c:y val="0.13162490768810362"/>
          <c:w val="0.87570244312677548"/>
          <c:h val="0.75842889480922959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rgbClr val="E2007D"/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Inundación'!$CF$132:$CO$132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Inundación'!$CF$136:$CO$136</c:f>
              <c:numCache>
                <c:formatCode>General</c:formatCode>
                <c:ptCount val="10"/>
                <c:pt idx="0">
                  <c:v>-1.3325361435216228</c:v>
                </c:pt>
                <c:pt idx="1">
                  <c:v>-0.97187351724456594</c:v>
                </c:pt>
                <c:pt idx="2">
                  <c:v>-0.58407798120937238</c:v>
                </c:pt>
                <c:pt idx="3">
                  <c:v>-0.41975671594973485</c:v>
                </c:pt>
                <c:pt idx="4">
                  <c:v>0.30750798358481557</c:v>
                </c:pt>
                <c:pt idx="5">
                  <c:v>1.0363983705069142</c:v>
                </c:pt>
                <c:pt idx="6">
                  <c:v>1.6657544001509481</c:v>
                </c:pt>
                <c:pt idx="7">
                  <c:v>1.9247555511646288</c:v>
                </c:pt>
                <c:pt idx="8">
                  <c:v>1.8253231650718464</c:v>
                </c:pt>
                <c:pt idx="9">
                  <c:v>1.3321238597441973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0E-4E23-A1A2-DE4FAB84C078}"/>
            </c:ext>
          </c:extLst>
        </c:ser>
        <c:ser>
          <c:idx val="1"/>
          <c:order val="1"/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Inundación'!$F$127:$O$127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Inundación'!$F$131:$O$131</c:f>
              <c:numCache>
                <c:formatCode>General</c:formatCode>
                <c:ptCount val="10"/>
                <c:pt idx="0">
                  <c:v>-1.3896190926975112</c:v>
                </c:pt>
                <c:pt idx="1">
                  <c:v>-1.0292131843176788</c:v>
                </c:pt>
                <c:pt idx="2">
                  <c:v>-0.64123797669064597</c:v>
                </c:pt>
                <c:pt idx="3">
                  <c:v>-0.47672284852895364</c:v>
                </c:pt>
                <c:pt idx="4">
                  <c:v>0.25200771933650179</c:v>
                </c:pt>
                <c:pt idx="5">
                  <c:v>0.98424418493625487</c:v>
                </c:pt>
                <c:pt idx="6">
                  <c:v>1.6185309717952185</c:v>
                </c:pt>
                <c:pt idx="7">
                  <c:v>1.8838977399982086</c:v>
                </c:pt>
                <c:pt idx="8">
                  <c:v>1.7920724150119778</c:v>
                </c:pt>
                <c:pt idx="9">
                  <c:v>1.3120971910654509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AC-4F50-B23E-C9C95804D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852495"/>
        <c:axId val="2135840975"/>
      </c:scatterChart>
      <c:valAx>
        <c:axId val="21358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23B8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40975"/>
        <c:crosses val="autoZero"/>
        <c:crossBetween val="midCat"/>
      </c:valAx>
      <c:valAx>
        <c:axId val="21358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200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52495"/>
        <c:crosses val="autoZero"/>
        <c:crossBetween val="midCat"/>
      </c:valAx>
      <c:spPr>
        <a:noFill/>
        <a:ln w="19050">
          <a:solidFill>
            <a:srgbClr val="223B82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rgbClr val="E2007D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6977714779827072E-2"/>
          <c:y val="0.13162490768810362"/>
          <c:w val="0.87570244312677548"/>
          <c:h val="0.75842889480922959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rgbClr val="E2007D"/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Inundación'!$F$127:$O$127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Inundación'!$F$131:$O$131</c:f>
              <c:numCache>
                <c:formatCode>General</c:formatCode>
                <c:ptCount val="10"/>
                <c:pt idx="0">
                  <c:v>-1.3896190926975112</c:v>
                </c:pt>
                <c:pt idx="1">
                  <c:v>-1.0292131843176788</c:v>
                </c:pt>
                <c:pt idx="2">
                  <c:v>-0.64123797669064597</c:v>
                </c:pt>
                <c:pt idx="3">
                  <c:v>-0.47672284852895364</c:v>
                </c:pt>
                <c:pt idx="4">
                  <c:v>0.25200771933650179</c:v>
                </c:pt>
                <c:pt idx="5">
                  <c:v>0.98424418493625487</c:v>
                </c:pt>
                <c:pt idx="6">
                  <c:v>1.6185309717952185</c:v>
                </c:pt>
                <c:pt idx="7">
                  <c:v>1.8838977399982086</c:v>
                </c:pt>
                <c:pt idx="8">
                  <c:v>1.7920724150119778</c:v>
                </c:pt>
                <c:pt idx="9">
                  <c:v>1.3120971910654509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72-4407-B33D-990AC097D837}"/>
            </c:ext>
          </c:extLst>
        </c:ser>
        <c:ser>
          <c:idx val="1"/>
          <c:order val="1"/>
          <c:spPr>
            <a:ln w="222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Inundación'!$Y$127:$AH$127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Inundación'!$Y$131:$AH$131</c:f>
              <c:numCache>
                <c:formatCode>General</c:formatCode>
                <c:ptCount val="10"/>
                <c:pt idx="0">
                  <c:v>-1.0438164292438874</c:v>
                </c:pt>
                <c:pt idx="1">
                  <c:v>-0.65625586385882595</c:v>
                </c:pt>
                <c:pt idx="2">
                  <c:v>-0.24464417655002801</c:v>
                </c:pt>
                <c:pt idx="3">
                  <c:v>-7.1716519859263528E-2</c:v>
                </c:pt>
                <c:pt idx="4">
                  <c:v>0.67137118677941587</c:v>
                </c:pt>
                <c:pt idx="5">
                  <c:v>1.3406155703890086</c:v>
                </c:pt>
                <c:pt idx="6">
                  <c:v>1.9616209098189474</c:v>
                </c:pt>
                <c:pt idx="7">
                  <c:v>2.2296676324168585</c:v>
                </c:pt>
                <c:pt idx="8">
                  <c:v>2.1498436689331664</c:v>
                </c:pt>
                <c:pt idx="9">
                  <c:v>1.6731604603355525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72-4407-B33D-990AC097D837}"/>
            </c:ext>
          </c:extLst>
        </c:ser>
        <c:ser>
          <c:idx val="2"/>
          <c:order val="2"/>
          <c:spPr>
            <a:ln w="2222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2225" cap="rnd">
                <a:solidFill>
                  <a:schemeClr val="tx2">
                    <a:lumMod val="90000"/>
                    <a:lumOff val="1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F3-42AD-89EB-2C9672F5C46F}"/>
              </c:ext>
            </c:extLst>
          </c:dPt>
          <c:xVal>
            <c:numRef>
              <c:f>'Análisis Inundación'!$CF$132:$CO$132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Inundación'!$CF$136:$CO$136</c:f>
              <c:numCache>
                <c:formatCode>General</c:formatCode>
                <c:ptCount val="10"/>
                <c:pt idx="0">
                  <c:v>-1.3325361435216228</c:v>
                </c:pt>
                <c:pt idx="1">
                  <c:v>-0.97187351724456594</c:v>
                </c:pt>
                <c:pt idx="2">
                  <c:v>-0.58407798120937238</c:v>
                </c:pt>
                <c:pt idx="3">
                  <c:v>-0.41975671594973485</c:v>
                </c:pt>
                <c:pt idx="4">
                  <c:v>0.30750798358481557</c:v>
                </c:pt>
                <c:pt idx="5">
                  <c:v>1.0363983705069142</c:v>
                </c:pt>
                <c:pt idx="6">
                  <c:v>1.6657544001509481</c:v>
                </c:pt>
                <c:pt idx="7">
                  <c:v>1.9247555511646288</c:v>
                </c:pt>
                <c:pt idx="8">
                  <c:v>1.8253231650718464</c:v>
                </c:pt>
                <c:pt idx="9">
                  <c:v>1.3321238597441973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772-4407-B33D-990AC097D837}"/>
            </c:ext>
          </c:extLst>
        </c:ser>
        <c:ser>
          <c:idx val="3"/>
          <c:order val="3"/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'Análisis Inundación'!$AR$127:$BA$127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75</c:v>
                </c:pt>
              </c:numCache>
            </c:numRef>
          </c:xVal>
          <c:yVal>
            <c:numRef>
              <c:f>'Análisis Inundación'!$AR$131:$BA$131</c:f>
              <c:numCache>
                <c:formatCode>General</c:formatCode>
                <c:ptCount val="10"/>
                <c:pt idx="0">
                  <c:v>-0.21529474146660835</c:v>
                </c:pt>
                <c:pt idx="1">
                  <c:v>0.16315201407088076</c:v>
                </c:pt>
                <c:pt idx="2">
                  <c:v>0.56011818932473645</c:v>
                </c:pt>
                <c:pt idx="3">
                  <c:v>0.7244798189675361</c:v>
                </c:pt>
                <c:pt idx="4">
                  <c:v>1.3699942337310311</c:v>
                </c:pt>
                <c:pt idx="5">
                  <c:v>1.8762904767736799</c:v>
                </c:pt>
                <c:pt idx="6">
                  <c:v>2.3414488157123539</c:v>
                </c:pt>
                <c:pt idx="7">
                  <c:v>2.4991171481823615</c:v>
                </c:pt>
                <c:pt idx="8">
                  <c:v>2.3368745213959747</c:v>
                </c:pt>
                <c:pt idx="9">
                  <c:v>1.7340885875007603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772-4407-B33D-990AC097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852495"/>
        <c:axId val="2135840975"/>
      </c:scatterChart>
      <c:valAx>
        <c:axId val="21358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23B8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40975"/>
        <c:crosses val="autoZero"/>
        <c:crossBetween val="midCat"/>
      </c:valAx>
      <c:valAx>
        <c:axId val="21358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200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007D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5852495"/>
        <c:crosses val="autoZero"/>
        <c:crossBetween val="midCat"/>
      </c:valAx>
      <c:spPr>
        <a:noFill/>
        <a:ln w="19050">
          <a:solidFill>
            <a:srgbClr val="223B82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6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image" Target="../media/image13.png"/><Relationship Id="rId2" Type="http://schemas.openxmlformats.org/officeDocument/2006/relationships/image" Target="../media/image1.png"/><Relationship Id="rId1" Type="http://schemas.openxmlformats.org/officeDocument/2006/relationships/image" Target="../media/image6.png"/><Relationship Id="rId6" Type="http://schemas.openxmlformats.org/officeDocument/2006/relationships/image" Target="../media/image12.png"/><Relationship Id="rId5" Type="http://schemas.openxmlformats.org/officeDocument/2006/relationships/image" Target="../media/image4.png"/><Relationship Id="rId4" Type="http://schemas.openxmlformats.org/officeDocument/2006/relationships/image" Target="../media/image11.png"/><Relationship Id="rId9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5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4.png"/><Relationship Id="rId9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image" Target="../media/image6.png"/><Relationship Id="rId6" Type="http://schemas.openxmlformats.org/officeDocument/2006/relationships/image" Target="../media/image9.png"/><Relationship Id="rId5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image" Target="../media/image6.png"/><Relationship Id="rId6" Type="http://schemas.openxmlformats.org/officeDocument/2006/relationships/image" Target="../media/image9.png"/><Relationship Id="rId5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18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19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20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6.png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hart" Target="../charts/chart9.xml"/><Relationship Id="rId5" Type="http://schemas.openxmlformats.org/officeDocument/2006/relationships/image" Target="../media/image4.png"/><Relationship Id="rId10" Type="http://schemas.openxmlformats.org/officeDocument/2006/relationships/chart" Target="../charts/chart8.xml"/><Relationship Id="rId4" Type="http://schemas.openxmlformats.org/officeDocument/2006/relationships/image" Target="../media/image20.png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648850</xdr:colOff>
      <xdr:row>4</xdr:row>
      <xdr:rowOff>30999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94FE2F-5FB7-489D-9298-ECF0509A5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88690" cy="762519"/>
        </a:xfrm>
        <a:prstGeom prst="rect">
          <a:avLst/>
        </a:prstGeom>
      </xdr:spPr>
    </xdr:pic>
    <xdr:clientData/>
  </xdr:twoCellAnchor>
  <xdr:twoCellAnchor editAs="oneCell">
    <xdr:from>
      <xdr:col>8</xdr:col>
      <xdr:colOff>632460</xdr:colOff>
      <xdr:row>0</xdr:row>
      <xdr:rowOff>0</xdr:rowOff>
    </xdr:from>
    <xdr:to>
      <xdr:col>22</xdr:col>
      <xdr:colOff>472440</xdr:colOff>
      <xdr:row>4</xdr:row>
      <xdr:rowOff>30999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10080-1A4D-4F38-88D5-3E0C681DB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2300" y="0"/>
          <a:ext cx="10934700" cy="762519"/>
        </a:xfrm>
        <a:prstGeom prst="rect">
          <a:avLst/>
        </a:prstGeom>
      </xdr:spPr>
    </xdr:pic>
    <xdr:clientData/>
  </xdr:twoCellAnchor>
  <xdr:twoCellAnchor editAs="oneCell">
    <xdr:from>
      <xdr:col>7</xdr:col>
      <xdr:colOff>754380</xdr:colOff>
      <xdr:row>0</xdr:row>
      <xdr:rowOff>0</xdr:rowOff>
    </xdr:from>
    <xdr:to>
      <xdr:col>14</xdr:col>
      <xdr:colOff>121920</xdr:colOff>
      <xdr:row>4</xdr:row>
      <xdr:rowOff>33020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E3C088-9E61-4492-BC57-56AF0AE35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174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487680</xdr:colOff>
      <xdr:row>0</xdr:row>
      <xdr:rowOff>0</xdr:rowOff>
    </xdr:from>
    <xdr:to>
      <xdr:col>15</xdr:col>
      <xdr:colOff>710939</xdr:colOff>
      <xdr:row>4</xdr:row>
      <xdr:rowOff>20344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ABF513C-AAB1-4911-A15A-B5F8E5E03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8240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16</xdr:col>
      <xdr:colOff>312420</xdr:colOff>
      <xdr:row>0</xdr:row>
      <xdr:rowOff>0</xdr:rowOff>
    </xdr:from>
    <xdr:to>
      <xdr:col>22</xdr:col>
      <xdr:colOff>472440</xdr:colOff>
      <xdr:row>4</xdr:row>
      <xdr:rowOff>33020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00306C6-22B3-42E5-884E-53E3DED67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471680</xdr:colOff>
      <xdr:row>0</xdr:row>
      <xdr:rowOff>2</xdr:rowOff>
    </xdr:from>
    <xdr:to>
      <xdr:col>23</xdr:col>
      <xdr:colOff>23619</xdr:colOff>
      <xdr:row>105</xdr:row>
      <xdr:rowOff>122682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811D202-856D-4D7A-A8D7-2B45F115F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8415910" y="9490332"/>
          <a:ext cx="19325080" cy="3444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137160</xdr:rowOff>
    </xdr:from>
    <xdr:to>
      <xdr:col>3</xdr:col>
      <xdr:colOff>365760</xdr:colOff>
      <xdr:row>25</xdr:row>
      <xdr:rowOff>160777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FDD29F1-91E3-44C0-B0F2-98A7C4445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7320"/>
          <a:ext cx="2743200" cy="2949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420250</xdr:colOff>
      <xdr:row>4</xdr:row>
      <xdr:rowOff>30999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9870727-9BEC-CBDD-29E3-878C1A582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80377" cy="762519"/>
        </a:xfrm>
        <a:prstGeom prst="rect">
          <a:avLst/>
        </a:prstGeom>
      </xdr:spPr>
    </xdr:pic>
    <xdr:clientData/>
  </xdr:twoCellAnchor>
  <xdr:twoCellAnchor editAs="oneCell">
    <xdr:from>
      <xdr:col>7</xdr:col>
      <xdr:colOff>403860</xdr:colOff>
      <xdr:row>0</xdr:row>
      <xdr:rowOff>0</xdr:rowOff>
    </xdr:from>
    <xdr:to>
      <xdr:col>37</xdr:col>
      <xdr:colOff>251460</xdr:colOff>
      <xdr:row>4</xdr:row>
      <xdr:rowOff>30999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76D6E79-A6FF-1D27-AC86-8A5D43850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2300" y="0"/>
          <a:ext cx="23919180" cy="762519"/>
        </a:xfrm>
        <a:prstGeom prst="rect">
          <a:avLst/>
        </a:prstGeom>
      </xdr:spPr>
    </xdr:pic>
    <xdr:clientData/>
  </xdr:twoCellAnchor>
  <xdr:twoCellAnchor>
    <xdr:from>
      <xdr:col>4</xdr:col>
      <xdr:colOff>716281</xdr:colOff>
      <xdr:row>10</xdr:row>
      <xdr:rowOff>99060</xdr:rowOff>
    </xdr:from>
    <xdr:to>
      <xdr:col>7</xdr:col>
      <xdr:colOff>45720</xdr:colOff>
      <xdr:row>17</xdr:row>
      <xdr:rowOff>68580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28D6FD8E-98E3-4BE9-E520-8086F31AE67C}"/>
            </a:ext>
          </a:extLst>
        </xdr:cNvPr>
        <xdr:cNvSpPr/>
      </xdr:nvSpPr>
      <xdr:spPr>
        <a:xfrm>
          <a:off x="3672841" y="1927860"/>
          <a:ext cx="2453639" cy="124968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0</xdr:colOff>
      <xdr:row>25</xdr:row>
      <xdr:rowOff>124298</xdr:rowOff>
    </xdr:from>
    <xdr:to>
      <xdr:col>37</xdr:col>
      <xdr:colOff>594360</xdr:colOff>
      <xdr:row>27</xdr:row>
      <xdr:rowOff>102957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69D3261-1967-426A-5C50-BFD6083AB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96298"/>
          <a:ext cx="31234380" cy="3444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178088</xdr:rowOff>
    </xdr:from>
    <xdr:to>
      <xdr:col>3</xdr:col>
      <xdr:colOff>373380</xdr:colOff>
      <xdr:row>23</xdr:row>
      <xdr:rowOff>18825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56C4D95-6AAE-72AC-4388-ADEC6D09D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5368"/>
          <a:ext cx="2743200" cy="2949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1767840</xdr:colOff>
      <xdr:row>0</xdr:row>
      <xdr:rowOff>0</xdr:rowOff>
    </xdr:from>
    <xdr:to>
      <xdr:col>12</xdr:col>
      <xdr:colOff>685800</xdr:colOff>
      <xdr:row>4</xdr:row>
      <xdr:rowOff>33020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4E0907F-5663-EA34-8804-AAD5C319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174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259080</xdr:colOff>
      <xdr:row>0</xdr:row>
      <xdr:rowOff>0</xdr:rowOff>
    </xdr:from>
    <xdr:to>
      <xdr:col>14</xdr:col>
      <xdr:colOff>482339</xdr:colOff>
      <xdr:row>4</xdr:row>
      <xdr:rowOff>20344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88A7EF0-711B-03AB-8AC9-335001767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8240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15</xdr:col>
      <xdr:colOff>83820</xdr:colOff>
      <xdr:row>0</xdr:row>
      <xdr:rowOff>0</xdr:rowOff>
    </xdr:from>
    <xdr:to>
      <xdr:col>21</xdr:col>
      <xdr:colOff>243840</xdr:colOff>
      <xdr:row>4</xdr:row>
      <xdr:rowOff>33020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83F34D4-B5D6-4681-BC5B-3A96CDEA7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480060</xdr:colOff>
      <xdr:row>0</xdr:row>
      <xdr:rowOff>0</xdr:rowOff>
    </xdr:from>
    <xdr:to>
      <xdr:col>22</xdr:col>
      <xdr:colOff>703319</xdr:colOff>
      <xdr:row>4</xdr:row>
      <xdr:rowOff>20344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2269497-A31F-4E72-BC2F-C596D241A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14322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23</xdr:col>
      <xdr:colOff>114300</xdr:colOff>
      <xdr:row>0</xdr:row>
      <xdr:rowOff>0</xdr:rowOff>
    </xdr:from>
    <xdr:to>
      <xdr:col>28</xdr:col>
      <xdr:colOff>1066800</xdr:colOff>
      <xdr:row>4</xdr:row>
      <xdr:rowOff>33020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0D0637E-840C-4190-AB66-D1BEE1C8D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6242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579120</xdr:colOff>
      <xdr:row>0</xdr:row>
      <xdr:rowOff>0</xdr:rowOff>
    </xdr:from>
    <xdr:to>
      <xdr:col>31</xdr:col>
      <xdr:colOff>9899</xdr:colOff>
      <xdr:row>4</xdr:row>
      <xdr:rowOff>20344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F9555BA-43DD-417E-A6A6-98E19994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58212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31</xdr:col>
      <xdr:colOff>91440</xdr:colOff>
      <xdr:row>0</xdr:row>
      <xdr:rowOff>0</xdr:rowOff>
    </xdr:from>
    <xdr:to>
      <xdr:col>37</xdr:col>
      <xdr:colOff>251460</xdr:colOff>
      <xdr:row>4</xdr:row>
      <xdr:rowOff>33020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47EBC73-C767-4C36-BE9B-F2579F8AB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7940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243079</xdr:colOff>
      <xdr:row>0</xdr:row>
      <xdr:rowOff>1</xdr:rowOff>
    </xdr:from>
    <xdr:to>
      <xdr:col>37</xdr:col>
      <xdr:colOff>587498</xdr:colOff>
      <xdr:row>27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373B22-FC76-468B-98F8-CFA3C87EB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28540709" y="2342391"/>
          <a:ext cx="5029200" cy="3444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275470</xdr:colOff>
      <xdr:row>4</xdr:row>
      <xdr:rowOff>30999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075E08-508B-4A85-9D82-64F1191FC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88690" cy="762519"/>
        </a:xfrm>
        <a:prstGeom prst="rect">
          <a:avLst/>
        </a:prstGeom>
      </xdr:spPr>
    </xdr:pic>
    <xdr:clientData/>
  </xdr:twoCellAnchor>
  <xdr:twoCellAnchor editAs="oneCell">
    <xdr:from>
      <xdr:col>8</xdr:col>
      <xdr:colOff>119746</xdr:colOff>
      <xdr:row>0</xdr:row>
      <xdr:rowOff>0</xdr:rowOff>
    </xdr:from>
    <xdr:to>
      <xdr:col>112</xdr:col>
      <xdr:colOff>729342</xdr:colOff>
      <xdr:row>4</xdr:row>
      <xdr:rowOff>30999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47691B-A08E-412D-8BCE-B8E6364FB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7117" y="0"/>
          <a:ext cx="90057511" cy="771228"/>
        </a:xfrm>
        <a:prstGeom prst="rect">
          <a:avLst/>
        </a:prstGeom>
      </xdr:spPr>
    </xdr:pic>
    <xdr:clientData/>
  </xdr:twoCellAnchor>
  <xdr:twoCellAnchor editAs="oneCell">
    <xdr:from>
      <xdr:col>8</xdr:col>
      <xdr:colOff>7620</xdr:colOff>
      <xdr:row>0</xdr:row>
      <xdr:rowOff>0</xdr:rowOff>
    </xdr:from>
    <xdr:to>
      <xdr:col>14</xdr:col>
      <xdr:colOff>17417</xdr:colOff>
      <xdr:row>4</xdr:row>
      <xdr:rowOff>33020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A68B8D-087D-4D18-987B-4E6D6A312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312420</xdr:colOff>
      <xdr:row>0</xdr:row>
      <xdr:rowOff>0</xdr:rowOff>
    </xdr:from>
    <xdr:to>
      <xdr:col>15</xdr:col>
      <xdr:colOff>524794</xdr:colOff>
      <xdr:row>4</xdr:row>
      <xdr:rowOff>20344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9D1F8E-414C-469C-A3CC-BF14A9735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48160" y="0"/>
          <a:ext cx="1020094" cy="75186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21</xdr:col>
      <xdr:colOff>671649</xdr:colOff>
      <xdr:row>4</xdr:row>
      <xdr:rowOff>33020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9B2A4C3-4FD8-4513-9D58-67DC8DE2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782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152400</xdr:colOff>
      <xdr:row>0</xdr:row>
      <xdr:rowOff>0</xdr:rowOff>
    </xdr:from>
    <xdr:to>
      <xdr:col>23</xdr:col>
      <xdr:colOff>337558</xdr:colOff>
      <xdr:row>4</xdr:row>
      <xdr:rowOff>20344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06BB343-A83C-40E9-8654-7C414FAA9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4510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23</xdr:col>
      <xdr:colOff>746760</xdr:colOff>
      <xdr:row>0</xdr:row>
      <xdr:rowOff>0</xdr:rowOff>
    </xdr:from>
    <xdr:to>
      <xdr:col>29</xdr:col>
      <xdr:colOff>611188</xdr:colOff>
      <xdr:row>4</xdr:row>
      <xdr:rowOff>33020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79C6908-6CD5-44A0-89BD-2550CCE56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194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106680</xdr:colOff>
      <xdr:row>0</xdr:row>
      <xdr:rowOff>0</xdr:rowOff>
    </xdr:from>
    <xdr:to>
      <xdr:col>31</xdr:col>
      <xdr:colOff>329939</xdr:colOff>
      <xdr:row>4</xdr:row>
      <xdr:rowOff>20344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ACCB61A-CC0F-42B8-A26A-C68DE7F5E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23922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31</xdr:col>
      <xdr:colOff>441960</xdr:colOff>
      <xdr:row>0</xdr:row>
      <xdr:rowOff>0</xdr:rowOff>
    </xdr:from>
    <xdr:to>
      <xdr:col>37</xdr:col>
      <xdr:colOff>527594</xdr:colOff>
      <xdr:row>4</xdr:row>
      <xdr:rowOff>33020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4411E3F-D05A-4A3A-A991-6394D7781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698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716280</xdr:colOff>
      <xdr:row>6</xdr:row>
      <xdr:rowOff>119063</xdr:rowOff>
    </xdr:from>
    <xdr:to>
      <xdr:col>8</xdr:col>
      <xdr:colOff>68580</xdr:colOff>
      <xdr:row>15</xdr:row>
      <xdr:rowOff>76201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3A03F5B3-FE6E-432D-91F2-D15A957D6B8E}"/>
            </a:ext>
          </a:extLst>
        </xdr:cNvPr>
        <xdr:cNvSpPr/>
      </xdr:nvSpPr>
      <xdr:spPr>
        <a:xfrm>
          <a:off x="716280" y="1214438"/>
          <a:ext cx="6075363" cy="1600201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716280</xdr:colOff>
      <xdr:row>18</xdr:row>
      <xdr:rowOff>114300</xdr:rowOff>
    </xdr:from>
    <xdr:to>
      <xdr:col>8</xdr:col>
      <xdr:colOff>68580</xdr:colOff>
      <xdr:row>47</xdr:row>
      <xdr:rowOff>68580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47543D22-EA8B-45F3-AC98-E336F17ACA80}"/>
            </a:ext>
          </a:extLst>
        </xdr:cNvPr>
        <xdr:cNvSpPr/>
      </xdr:nvSpPr>
      <xdr:spPr>
        <a:xfrm>
          <a:off x="716280" y="3406140"/>
          <a:ext cx="6065520" cy="52578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731520</xdr:colOff>
      <xdr:row>50</xdr:row>
      <xdr:rowOff>127000</xdr:rowOff>
    </xdr:from>
    <xdr:to>
      <xdr:col>8</xdr:col>
      <xdr:colOff>68580</xdr:colOff>
      <xdr:row>63</xdr:row>
      <xdr:rowOff>68580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ED7DFA8E-56C0-45C7-B554-55E4487CDD96}"/>
            </a:ext>
          </a:extLst>
        </xdr:cNvPr>
        <xdr:cNvSpPr/>
      </xdr:nvSpPr>
      <xdr:spPr>
        <a:xfrm>
          <a:off x="731520" y="9255125"/>
          <a:ext cx="6060123" cy="2314893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722313</xdr:colOff>
      <xdr:row>66</xdr:row>
      <xdr:rowOff>111124</xdr:rowOff>
    </xdr:from>
    <xdr:to>
      <xdr:col>8</xdr:col>
      <xdr:colOff>60960</xdr:colOff>
      <xdr:row>74</xdr:row>
      <xdr:rowOff>76199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A41CA372-A899-404C-AEF1-485750BF2D16}"/>
            </a:ext>
          </a:extLst>
        </xdr:cNvPr>
        <xdr:cNvSpPr/>
      </xdr:nvSpPr>
      <xdr:spPr>
        <a:xfrm>
          <a:off x="722313" y="12160249"/>
          <a:ext cx="6061710" cy="1425575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716280</xdr:colOff>
      <xdr:row>77</xdr:row>
      <xdr:rowOff>119062</xdr:rowOff>
    </xdr:from>
    <xdr:to>
      <xdr:col>8</xdr:col>
      <xdr:colOff>68580</xdr:colOff>
      <xdr:row>91</xdr:row>
      <xdr:rowOff>68580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3EB7885-A673-4385-8500-E20E7DFCB6EE}"/>
            </a:ext>
          </a:extLst>
        </xdr:cNvPr>
        <xdr:cNvSpPr/>
      </xdr:nvSpPr>
      <xdr:spPr>
        <a:xfrm>
          <a:off x="716280" y="14176375"/>
          <a:ext cx="6075363" cy="2505393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716280</xdr:colOff>
      <xdr:row>94</xdr:row>
      <xdr:rowOff>106680</xdr:rowOff>
    </xdr:from>
    <xdr:to>
      <xdr:col>8</xdr:col>
      <xdr:colOff>68580</xdr:colOff>
      <xdr:row>100</xdr:row>
      <xdr:rowOff>76200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C046FD4-2DCB-4B82-B2CF-E9B86C15DC4A}"/>
            </a:ext>
          </a:extLst>
        </xdr:cNvPr>
        <xdr:cNvSpPr/>
      </xdr:nvSpPr>
      <xdr:spPr>
        <a:xfrm>
          <a:off x="716280" y="17297400"/>
          <a:ext cx="6065520" cy="10668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738188</xdr:colOff>
      <xdr:row>103</xdr:row>
      <xdr:rowOff>121920</xdr:rowOff>
    </xdr:from>
    <xdr:to>
      <xdr:col>8</xdr:col>
      <xdr:colOff>60960</xdr:colOff>
      <xdr:row>110</xdr:row>
      <xdr:rowOff>60960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12AC71F5-3219-4C0F-B23C-EC42C1E49100}"/>
            </a:ext>
          </a:extLst>
        </xdr:cNvPr>
        <xdr:cNvSpPr/>
      </xdr:nvSpPr>
      <xdr:spPr>
        <a:xfrm>
          <a:off x="738188" y="18958560"/>
          <a:ext cx="6035992" cy="12192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716280</xdr:colOff>
      <xdr:row>113</xdr:row>
      <xdr:rowOff>111124</xdr:rowOff>
    </xdr:from>
    <xdr:to>
      <xdr:col>8</xdr:col>
      <xdr:colOff>68580</xdr:colOff>
      <xdr:row>122</xdr:row>
      <xdr:rowOff>76199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8836B46C-F3D9-4F25-864C-8CA3BA9B09AB}"/>
            </a:ext>
          </a:extLst>
        </xdr:cNvPr>
        <xdr:cNvSpPr/>
      </xdr:nvSpPr>
      <xdr:spPr>
        <a:xfrm>
          <a:off x="716280" y="20740687"/>
          <a:ext cx="6075363" cy="1608137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716280</xdr:colOff>
      <xdr:row>6</xdr:row>
      <xdr:rowOff>106680</xdr:rowOff>
    </xdr:from>
    <xdr:to>
      <xdr:col>11</xdr:col>
      <xdr:colOff>71438</xdr:colOff>
      <xdr:row>16</xdr:row>
      <xdr:rowOff>68579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73DAD20D-304C-4F80-B35A-F23CCD86593E}"/>
            </a:ext>
          </a:extLst>
        </xdr:cNvPr>
        <xdr:cNvSpPr/>
      </xdr:nvSpPr>
      <xdr:spPr>
        <a:xfrm>
          <a:off x="7439343" y="1202055"/>
          <a:ext cx="1855470" cy="1787524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730250</xdr:colOff>
      <xdr:row>7</xdr:row>
      <xdr:rowOff>106681</xdr:rowOff>
    </xdr:from>
    <xdr:to>
      <xdr:col>16</xdr:col>
      <xdr:colOff>68580</xdr:colOff>
      <xdr:row>14</xdr:row>
      <xdr:rowOff>68581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81779956-ADAD-40BC-9BDE-FE7367D9EE91}"/>
            </a:ext>
          </a:extLst>
        </xdr:cNvPr>
        <xdr:cNvSpPr/>
      </xdr:nvSpPr>
      <xdr:spPr>
        <a:xfrm>
          <a:off x="9953625" y="1384619"/>
          <a:ext cx="3386455" cy="1239837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738188</xdr:colOff>
      <xdr:row>7</xdr:row>
      <xdr:rowOff>121921</xdr:rowOff>
    </xdr:from>
    <xdr:to>
      <xdr:col>20</xdr:col>
      <xdr:colOff>71438</xdr:colOff>
      <xdr:row>14</xdr:row>
      <xdr:rowOff>60960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E3F32483-665C-4A7D-B576-59508D08FD2C}"/>
            </a:ext>
          </a:extLst>
        </xdr:cNvPr>
        <xdr:cNvSpPr/>
      </xdr:nvSpPr>
      <xdr:spPr>
        <a:xfrm>
          <a:off x="14009688" y="1399859"/>
          <a:ext cx="2714625" cy="1216976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740545</xdr:colOff>
      <xdr:row>19</xdr:row>
      <xdr:rowOff>120421</xdr:rowOff>
    </xdr:from>
    <xdr:to>
      <xdr:col>21</xdr:col>
      <xdr:colOff>79375</xdr:colOff>
      <xdr:row>129</xdr:row>
      <xdr:rowOff>63499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2FC5D918-45C6-402C-919B-C708A5D95592}"/>
            </a:ext>
          </a:extLst>
        </xdr:cNvPr>
        <xdr:cNvSpPr/>
      </xdr:nvSpPr>
      <xdr:spPr>
        <a:xfrm>
          <a:off x="7463608" y="3589109"/>
          <a:ext cx="10149705" cy="20024953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37</xdr:col>
      <xdr:colOff>539465</xdr:colOff>
      <xdr:row>0</xdr:row>
      <xdr:rowOff>0</xdr:rowOff>
    </xdr:from>
    <xdr:to>
      <xdr:col>38</xdr:col>
      <xdr:colOff>751839</xdr:colOff>
      <xdr:row>4</xdr:row>
      <xdr:rowOff>20344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18E92FF-2FF6-4D04-BCD6-80041E4DF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887281" y="0"/>
          <a:ext cx="1016361" cy="766793"/>
        </a:xfrm>
        <a:prstGeom prst="rect">
          <a:avLst/>
        </a:prstGeom>
      </xdr:spPr>
    </xdr:pic>
    <xdr:clientData/>
  </xdr:twoCellAnchor>
  <xdr:twoCellAnchor editAs="oneCell">
    <xdr:from>
      <xdr:col>39</xdr:col>
      <xdr:colOff>3266</xdr:colOff>
      <xdr:row>0</xdr:row>
      <xdr:rowOff>0</xdr:rowOff>
    </xdr:from>
    <xdr:to>
      <xdr:col>45</xdr:col>
      <xdr:colOff>56242</xdr:colOff>
      <xdr:row>4</xdr:row>
      <xdr:rowOff>33020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8C70476F-2A56-4345-82B2-03D0C92C1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37286" y="0"/>
          <a:ext cx="4917336" cy="779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124252</xdr:colOff>
      <xdr:row>0</xdr:row>
      <xdr:rowOff>0</xdr:rowOff>
    </xdr:from>
    <xdr:to>
      <xdr:col>46</xdr:col>
      <xdr:colOff>336625</xdr:colOff>
      <xdr:row>4</xdr:row>
      <xdr:rowOff>20344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25A14A5-044E-458C-82B8-F32171C9A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879089" y="0"/>
          <a:ext cx="1016361" cy="766793"/>
        </a:xfrm>
        <a:prstGeom prst="rect">
          <a:avLst/>
        </a:prstGeom>
      </xdr:spPr>
    </xdr:pic>
    <xdr:clientData/>
  </xdr:twoCellAnchor>
  <xdr:twoCellAnchor editAs="oneCell">
    <xdr:from>
      <xdr:col>46</xdr:col>
      <xdr:colOff>342277</xdr:colOff>
      <xdr:row>0</xdr:row>
      <xdr:rowOff>0</xdr:rowOff>
    </xdr:from>
    <xdr:to>
      <xdr:col>52</xdr:col>
      <xdr:colOff>356377</xdr:colOff>
      <xdr:row>4</xdr:row>
      <xdr:rowOff>33020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74C6464-BE82-4F86-9A49-DC998ACD2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66077" y="0"/>
          <a:ext cx="4890900" cy="795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471040</xdr:colOff>
      <xdr:row>0</xdr:row>
      <xdr:rowOff>0</xdr:rowOff>
    </xdr:from>
    <xdr:to>
      <xdr:col>53</xdr:col>
      <xdr:colOff>683413</xdr:colOff>
      <xdr:row>4</xdr:row>
      <xdr:rowOff>20344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464EC68-5A81-40D2-9CCD-2D8786F0E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78673" y="0"/>
          <a:ext cx="1016361" cy="766793"/>
        </a:xfrm>
        <a:prstGeom prst="rect">
          <a:avLst/>
        </a:prstGeom>
      </xdr:spPr>
    </xdr:pic>
    <xdr:clientData/>
  </xdr:twoCellAnchor>
  <xdr:twoCellAnchor editAs="oneCell">
    <xdr:from>
      <xdr:col>54</xdr:col>
      <xdr:colOff>11506</xdr:colOff>
      <xdr:row>0</xdr:row>
      <xdr:rowOff>0</xdr:rowOff>
    </xdr:from>
    <xdr:to>
      <xdr:col>60</xdr:col>
      <xdr:colOff>47532</xdr:colOff>
      <xdr:row>4</xdr:row>
      <xdr:rowOff>33020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EE29BE3D-4968-4541-B926-D50CEDCD8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50406" y="0"/>
          <a:ext cx="4935686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732196</xdr:colOff>
      <xdr:row>6</xdr:row>
      <xdr:rowOff>119598</xdr:rowOff>
    </xdr:from>
    <xdr:to>
      <xdr:col>28</xdr:col>
      <xdr:colOff>63500</xdr:colOff>
      <xdr:row>103</xdr:row>
      <xdr:rowOff>76201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433A9D4E-D170-4403-A3C5-18A422050D20}"/>
            </a:ext>
          </a:extLst>
        </xdr:cNvPr>
        <xdr:cNvSpPr/>
      </xdr:nvSpPr>
      <xdr:spPr>
        <a:xfrm>
          <a:off x="18250576" y="1216878"/>
          <a:ext cx="5267284" cy="18381763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725847</xdr:colOff>
      <xdr:row>6</xdr:row>
      <xdr:rowOff>129121</xdr:rowOff>
    </xdr:from>
    <xdr:to>
      <xdr:col>35</xdr:col>
      <xdr:colOff>63500</xdr:colOff>
      <xdr:row>104</xdr:row>
      <xdr:rowOff>65314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83C5AA6B-BE90-4012-A866-A2A9035844E3}"/>
            </a:ext>
          </a:extLst>
        </xdr:cNvPr>
        <xdr:cNvSpPr/>
      </xdr:nvSpPr>
      <xdr:spPr>
        <a:xfrm>
          <a:off x="24173676" y="1239464"/>
          <a:ext cx="4954681" cy="19051507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35</xdr:col>
      <xdr:colOff>735372</xdr:colOff>
      <xdr:row>6</xdr:row>
      <xdr:rowOff>138646</xdr:rowOff>
    </xdr:from>
    <xdr:to>
      <xdr:col>42</xdr:col>
      <xdr:colOff>71437</xdr:colOff>
      <xdr:row>104</xdr:row>
      <xdr:rowOff>76200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AAE2FC1F-D1AF-4484-B223-175C4385461A}"/>
            </a:ext>
          </a:extLst>
        </xdr:cNvPr>
        <xdr:cNvSpPr/>
      </xdr:nvSpPr>
      <xdr:spPr>
        <a:xfrm>
          <a:off x="29800229" y="1248989"/>
          <a:ext cx="5007522" cy="19052868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42</xdr:col>
      <xdr:colOff>752834</xdr:colOff>
      <xdr:row>6</xdr:row>
      <xdr:rowOff>116419</xdr:rowOff>
    </xdr:from>
    <xdr:to>
      <xdr:col>49</xdr:col>
      <xdr:colOff>57149</xdr:colOff>
      <xdr:row>104</xdr:row>
      <xdr:rowOff>65314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D96A0AD-696D-41DA-9813-E04A9F7AEB84}"/>
            </a:ext>
          </a:extLst>
        </xdr:cNvPr>
        <xdr:cNvSpPr/>
      </xdr:nvSpPr>
      <xdr:spPr>
        <a:xfrm>
          <a:off x="35489148" y="1226762"/>
          <a:ext cx="5019315" cy="19064209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49</xdr:col>
      <xdr:colOff>738546</xdr:colOff>
      <xdr:row>6</xdr:row>
      <xdr:rowOff>110070</xdr:rowOff>
    </xdr:from>
    <xdr:to>
      <xdr:col>56</xdr:col>
      <xdr:colOff>74611</xdr:colOff>
      <xdr:row>104</xdr:row>
      <xdr:rowOff>65314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A2FC143B-CA1C-429D-9192-81A384A87F52}"/>
            </a:ext>
          </a:extLst>
        </xdr:cNvPr>
        <xdr:cNvSpPr/>
      </xdr:nvSpPr>
      <xdr:spPr>
        <a:xfrm>
          <a:off x="41189860" y="1220413"/>
          <a:ext cx="5007522" cy="19070558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56</xdr:col>
      <xdr:colOff>724258</xdr:colOff>
      <xdr:row>6</xdr:row>
      <xdr:rowOff>127532</xdr:rowOff>
    </xdr:from>
    <xdr:to>
      <xdr:col>88</xdr:col>
      <xdr:colOff>64094</xdr:colOff>
      <xdr:row>65</xdr:row>
      <xdr:rowOff>49851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E91FA432-19E6-4B4E-AFD4-FA736CF25FBF}"/>
            </a:ext>
          </a:extLst>
        </xdr:cNvPr>
        <xdr:cNvSpPr/>
      </xdr:nvSpPr>
      <xdr:spPr>
        <a:xfrm>
          <a:off x="46778968" y="1238485"/>
          <a:ext cx="28067948" cy="10846693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88</xdr:col>
      <xdr:colOff>735090</xdr:colOff>
      <xdr:row>6</xdr:row>
      <xdr:rowOff>122211</xdr:rowOff>
    </xdr:from>
    <xdr:to>
      <xdr:col>99</xdr:col>
      <xdr:colOff>59763</xdr:colOff>
      <xdr:row>67</xdr:row>
      <xdr:rowOff>59766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E35EAF4A-0171-4A7E-A73D-A50B946442BF}"/>
            </a:ext>
          </a:extLst>
        </xdr:cNvPr>
        <xdr:cNvSpPr/>
      </xdr:nvSpPr>
      <xdr:spPr>
        <a:xfrm>
          <a:off x="75470855" y="1197976"/>
          <a:ext cx="9178379" cy="10874496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99</xdr:col>
      <xdr:colOff>738080</xdr:colOff>
      <xdr:row>6</xdr:row>
      <xdr:rowOff>117729</xdr:rowOff>
    </xdr:from>
    <xdr:to>
      <xdr:col>110</xdr:col>
      <xdr:colOff>62754</xdr:colOff>
      <xdr:row>67</xdr:row>
      <xdr:rowOff>55284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4E8C4F6F-13AD-4973-9D56-7A93A1584AB4}"/>
            </a:ext>
          </a:extLst>
        </xdr:cNvPr>
        <xdr:cNvSpPr/>
      </xdr:nvSpPr>
      <xdr:spPr>
        <a:xfrm>
          <a:off x="85327551" y="1193494"/>
          <a:ext cx="9178379" cy="10874496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61</xdr:col>
      <xdr:colOff>833377</xdr:colOff>
      <xdr:row>0</xdr:row>
      <xdr:rowOff>0</xdr:rowOff>
    </xdr:from>
    <xdr:to>
      <xdr:col>67</xdr:col>
      <xdr:colOff>608146</xdr:colOff>
      <xdr:row>4</xdr:row>
      <xdr:rowOff>33020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4B0A8A4-CADF-490A-8F26-03581E589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03606" y="0"/>
          <a:ext cx="4934597" cy="77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626549</xdr:colOff>
      <xdr:row>0</xdr:row>
      <xdr:rowOff>0</xdr:rowOff>
    </xdr:from>
    <xdr:to>
      <xdr:col>75</xdr:col>
      <xdr:colOff>74746</xdr:colOff>
      <xdr:row>4</xdr:row>
      <xdr:rowOff>33020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322EE7E6-758D-427B-8C6A-75D43C96D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74520" y="0"/>
          <a:ext cx="4934597" cy="77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27835</xdr:colOff>
      <xdr:row>0</xdr:row>
      <xdr:rowOff>0</xdr:rowOff>
    </xdr:from>
    <xdr:to>
      <xdr:col>82</xdr:col>
      <xdr:colOff>303346</xdr:colOff>
      <xdr:row>4</xdr:row>
      <xdr:rowOff>33020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B4553CEE-9260-45CD-B82A-A3577F44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91006" y="0"/>
          <a:ext cx="4934597" cy="77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702749</xdr:colOff>
      <xdr:row>0</xdr:row>
      <xdr:rowOff>0</xdr:rowOff>
    </xdr:from>
    <xdr:to>
      <xdr:col>89</xdr:col>
      <xdr:colOff>1098003</xdr:colOff>
      <xdr:row>4</xdr:row>
      <xdr:rowOff>33020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D3DBC992-A56B-4380-8D3F-B2BCF6B2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97349" y="0"/>
          <a:ext cx="4934597" cy="77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104034</xdr:colOff>
      <xdr:row>0</xdr:row>
      <xdr:rowOff>0</xdr:rowOff>
    </xdr:from>
    <xdr:to>
      <xdr:col>97</xdr:col>
      <xdr:colOff>738774</xdr:colOff>
      <xdr:row>4</xdr:row>
      <xdr:rowOff>33020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5B1039CF-8946-43C4-A7D1-98ADDED9B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2434" y="0"/>
          <a:ext cx="4934597" cy="77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147577</xdr:colOff>
      <xdr:row>0</xdr:row>
      <xdr:rowOff>0</xdr:rowOff>
    </xdr:from>
    <xdr:to>
      <xdr:col>105</xdr:col>
      <xdr:colOff>357774</xdr:colOff>
      <xdr:row>4</xdr:row>
      <xdr:rowOff>33020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29378D6B-A084-470E-9F37-893DA7D79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54863" y="0"/>
          <a:ext cx="4934597" cy="77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844263</xdr:colOff>
      <xdr:row>0</xdr:row>
      <xdr:rowOff>0</xdr:rowOff>
    </xdr:from>
    <xdr:to>
      <xdr:col>112</xdr:col>
      <xdr:colOff>695231</xdr:colOff>
      <xdr:row>4</xdr:row>
      <xdr:rowOff>33020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D719EC69-564C-4A9F-B639-A4A0FDDDA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35920" y="0"/>
          <a:ext cx="4934597" cy="77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435273</xdr:colOff>
      <xdr:row>0</xdr:row>
      <xdr:rowOff>0</xdr:rowOff>
    </xdr:from>
    <xdr:to>
      <xdr:col>61</xdr:col>
      <xdr:colOff>593217</xdr:colOff>
      <xdr:row>4</xdr:row>
      <xdr:rowOff>20344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4FCCAD73-F2CC-457B-965E-3612555AE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845530" y="0"/>
          <a:ext cx="1017916" cy="760573"/>
        </a:xfrm>
        <a:prstGeom prst="rect">
          <a:avLst/>
        </a:prstGeom>
      </xdr:spPr>
    </xdr:pic>
    <xdr:clientData/>
  </xdr:twoCellAnchor>
  <xdr:twoCellAnchor editAs="oneCell">
    <xdr:from>
      <xdr:col>68</xdr:col>
      <xdr:colOff>163130</xdr:colOff>
      <xdr:row>0</xdr:row>
      <xdr:rowOff>0</xdr:rowOff>
    </xdr:from>
    <xdr:to>
      <xdr:col>69</xdr:col>
      <xdr:colOff>277532</xdr:colOff>
      <xdr:row>4</xdr:row>
      <xdr:rowOff>20344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10774E1E-69A0-4031-B14F-0560ECCA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507587" y="0"/>
          <a:ext cx="1017916" cy="760573"/>
        </a:xfrm>
        <a:prstGeom prst="rect">
          <a:avLst/>
        </a:prstGeom>
      </xdr:spPr>
    </xdr:pic>
    <xdr:clientData/>
  </xdr:twoCellAnchor>
  <xdr:twoCellAnchor editAs="oneCell">
    <xdr:from>
      <xdr:col>75</xdr:col>
      <xdr:colOff>587674</xdr:colOff>
      <xdr:row>0</xdr:row>
      <xdr:rowOff>0</xdr:rowOff>
    </xdr:from>
    <xdr:to>
      <xdr:col>76</xdr:col>
      <xdr:colOff>691190</xdr:colOff>
      <xdr:row>4</xdr:row>
      <xdr:rowOff>20344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F7E023E5-D9E2-4505-AD23-A5064A60E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322045" y="0"/>
          <a:ext cx="1017916" cy="760573"/>
        </a:xfrm>
        <a:prstGeom prst="rect">
          <a:avLst/>
        </a:prstGeom>
      </xdr:spPr>
    </xdr:pic>
    <xdr:clientData/>
  </xdr:twoCellAnchor>
  <xdr:twoCellAnchor editAs="oneCell">
    <xdr:from>
      <xdr:col>83</xdr:col>
      <xdr:colOff>54273</xdr:colOff>
      <xdr:row>0</xdr:row>
      <xdr:rowOff>0</xdr:rowOff>
    </xdr:from>
    <xdr:to>
      <xdr:col>84</xdr:col>
      <xdr:colOff>136018</xdr:colOff>
      <xdr:row>4</xdr:row>
      <xdr:rowOff>20344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72B23D0C-3BEF-4CE6-BCEE-A6A0CEB14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12702" y="0"/>
          <a:ext cx="1017916" cy="760573"/>
        </a:xfrm>
        <a:prstGeom prst="rect">
          <a:avLst/>
        </a:prstGeom>
      </xdr:spPr>
    </xdr:pic>
    <xdr:clientData/>
  </xdr:twoCellAnchor>
  <xdr:twoCellAnchor editAs="oneCell">
    <xdr:from>
      <xdr:col>90</xdr:col>
      <xdr:colOff>304645</xdr:colOff>
      <xdr:row>0</xdr:row>
      <xdr:rowOff>0</xdr:rowOff>
    </xdr:from>
    <xdr:to>
      <xdr:col>91</xdr:col>
      <xdr:colOff>462589</xdr:colOff>
      <xdr:row>4</xdr:row>
      <xdr:rowOff>20344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1E69A8E8-E0BA-4E9F-B88F-3B18EC384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223102" y="0"/>
          <a:ext cx="1017916" cy="760573"/>
        </a:xfrm>
        <a:prstGeom prst="rect">
          <a:avLst/>
        </a:prstGeom>
      </xdr:spPr>
    </xdr:pic>
    <xdr:clientData/>
  </xdr:twoCellAnchor>
  <xdr:twoCellAnchor editAs="oneCell">
    <xdr:from>
      <xdr:col>98</xdr:col>
      <xdr:colOff>359073</xdr:colOff>
      <xdr:row>0</xdr:row>
      <xdr:rowOff>0</xdr:rowOff>
    </xdr:from>
    <xdr:to>
      <xdr:col>99</xdr:col>
      <xdr:colOff>462589</xdr:colOff>
      <xdr:row>4</xdr:row>
      <xdr:rowOff>20344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8E7EFDA2-D686-4660-BAE3-6C5B8F354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157302" y="0"/>
          <a:ext cx="1017916" cy="760573"/>
        </a:xfrm>
        <a:prstGeom prst="rect">
          <a:avLst/>
        </a:prstGeom>
      </xdr:spPr>
    </xdr:pic>
    <xdr:clientData/>
  </xdr:twoCellAnchor>
  <xdr:twoCellAnchor editAs="oneCell">
    <xdr:from>
      <xdr:col>105</xdr:col>
      <xdr:colOff>576788</xdr:colOff>
      <xdr:row>0</xdr:row>
      <xdr:rowOff>0</xdr:rowOff>
    </xdr:from>
    <xdr:to>
      <xdr:col>106</xdr:col>
      <xdr:colOff>734733</xdr:colOff>
      <xdr:row>4</xdr:row>
      <xdr:rowOff>20344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26F0B33E-6509-423D-AA1B-59E359AED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808474" y="0"/>
          <a:ext cx="1017916" cy="760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112486</xdr:rowOff>
    </xdr:from>
    <xdr:to>
      <xdr:col>113</xdr:col>
      <xdr:colOff>123151</xdr:colOff>
      <xdr:row>133</xdr:row>
      <xdr:rowOff>94048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B145ADC9-3F80-475B-8B51-099ED1F96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4311759"/>
          <a:ext cx="97220424" cy="351016"/>
        </a:xfrm>
        <a:prstGeom prst="rect">
          <a:avLst/>
        </a:prstGeom>
      </xdr:spPr>
    </xdr:pic>
    <xdr:clientData/>
  </xdr:twoCellAnchor>
  <xdr:twoCellAnchor editAs="oneCell">
    <xdr:from>
      <xdr:col>112</xdr:col>
      <xdr:colOff>601584</xdr:colOff>
      <xdr:row>0</xdr:row>
      <xdr:rowOff>1</xdr:rowOff>
    </xdr:from>
    <xdr:to>
      <xdr:col>113</xdr:col>
      <xdr:colOff>151346</xdr:colOff>
      <xdr:row>128</xdr:row>
      <xdr:rowOff>37938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17BDFA0A-A392-481A-857E-93B9DA689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84746797" y="12159273"/>
          <a:ext cx="24661093" cy="342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631070</xdr:colOff>
      <xdr:row>4</xdr:row>
      <xdr:rowOff>10679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91F7AA-EC70-40EF-A2F6-A79BBF5A2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70910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460110</xdr:colOff>
      <xdr:row>0</xdr:row>
      <xdr:rowOff>0</xdr:rowOff>
    </xdr:from>
    <xdr:to>
      <xdr:col>39</xdr:col>
      <xdr:colOff>669636</xdr:colOff>
      <xdr:row>4</xdr:row>
      <xdr:rowOff>10679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DD8EC-B3A9-4113-B4DA-43A07675B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3201" y="0"/>
          <a:ext cx="24974526" cy="749588"/>
        </a:xfrm>
        <a:prstGeom prst="rect">
          <a:avLst/>
        </a:prstGeom>
      </xdr:spPr>
    </xdr:pic>
    <xdr:clientData/>
  </xdr:twoCellAnchor>
  <xdr:twoCellAnchor editAs="oneCell">
    <xdr:from>
      <xdr:col>8</xdr:col>
      <xdr:colOff>347980</xdr:colOff>
      <xdr:row>0</xdr:row>
      <xdr:rowOff>0</xdr:rowOff>
    </xdr:from>
    <xdr:to>
      <xdr:col>14</xdr:col>
      <xdr:colOff>400550</xdr:colOff>
      <xdr:row>4</xdr:row>
      <xdr:rowOff>12700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B99840-3729-464E-9113-AC2B5493C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782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515620</xdr:colOff>
      <xdr:row>0</xdr:row>
      <xdr:rowOff>0</xdr:rowOff>
    </xdr:from>
    <xdr:to>
      <xdr:col>15</xdr:col>
      <xdr:colOff>733799</xdr:colOff>
      <xdr:row>4</xdr:row>
      <xdr:rowOff>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6CF1B44-ABD1-4D09-8153-4BB4E3597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10340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16</xdr:col>
      <xdr:colOff>299720</xdr:colOff>
      <xdr:row>0</xdr:row>
      <xdr:rowOff>0</xdr:rowOff>
    </xdr:from>
    <xdr:to>
      <xdr:col>22</xdr:col>
      <xdr:colOff>429260</xdr:colOff>
      <xdr:row>4</xdr:row>
      <xdr:rowOff>12700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A35A55E-6032-4476-BE93-1F56A7715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940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421640</xdr:colOff>
      <xdr:row>0</xdr:row>
      <xdr:rowOff>0</xdr:rowOff>
    </xdr:from>
    <xdr:to>
      <xdr:col>23</xdr:col>
      <xdr:colOff>639819</xdr:colOff>
      <xdr:row>4</xdr:row>
      <xdr:rowOff>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777E3B1-9195-4F57-A6ED-DB5C0968F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6200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24</xdr:col>
      <xdr:colOff>218440</xdr:colOff>
      <xdr:row>0</xdr:row>
      <xdr:rowOff>0</xdr:rowOff>
    </xdr:from>
    <xdr:to>
      <xdr:col>30</xdr:col>
      <xdr:colOff>342900</xdr:colOff>
      <xdr:row>4</xdr:row>
      <xdr:rowOff>12700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DF4626B-6376-47E9-B83F-06F643523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37960" y="0"/>
          <a:ext cx="487934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358372</xdr:colOff>
      <xdr:row>0</xdr:row>
      <xdr:rowOff>0</xdr:rowOff>
    </xdr:from>
    <xdr:to>
      <xdr:col>31</xdr:col>
      <xdr:colOff>576551</xdr:colOff>
      <xdr:row>4</xdr:row>
      <xdr:rowOff>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F90B246-CFD3-4549-A317-3AE3F3958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26736" y="0"/>
          <a:ext cx="1014815" cy="738933"/>
        </a:xfrm>
        <a:prstGeom prst="rect">
          <a:avLst/>
        </a:prstGeom>
      </xdr:spPr>
    </xdr:pic>
    <xdr:clientData/>
  </xdr:twoCellAnchor>
  <xdr:twoCellAnchor editAs="oneCell">
    <xdr:from>
      <xdr:col>31</xdr:col>
      <xdr:colOff>665480</xdr:colOff>
      <xdr:row>0</xdr:row>
      <xdr:rowOff>0</xdr:rowOff>
    </xdr:from>
    <xdr:to>
      <xdr:col>38</xdr:col>
      <xdr:colOff>2540</xdr:colOff>
      <xdr:row>4</xdr:row>
      <xdr:rowOff>12700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86C407A-F4A5-4F0F-9658-D551C4CFB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3236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15394</xdr:rowOff>
    </xdr:from>
    <xdr:to>
      <xdr:col>3</xdr:col>
      <xdr:colOff>358140</xdr:colOff>
      <xdr:row>22</xdr:row>
      <xdr:rowOff>145691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3E48D-D3DE-45DF-838D-C2B4D4A84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8485"/>
          <a:ext cx="2736504" cy="2901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123152</xdr:rowOff>
    </xdr:from>
    <xdr:to>
      <xdr:col>26</xdr:col>
      <xdr:colOff>723515</xdr:colOff>
      <xdr:row>27</xdr:row>
      <xdr:rowOff>98117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4F8AB1F-3D50-481D-9132-109ECFD28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741334"/>
          <a:ext cx="21412970" cy="344419"/>
        </a:xfrm>
        <a:prstGeom prst="rect">
          <a:avLst/>
        </a:prstGeom>
      </xdr:spPr>
    </xdr:pic>
    <xdr:clientData/>
  </xdr:twoCellAnchor>
  <xdr:twoCellAnchor editAs="oneCell">
    <xdr:from>
      <xdr:col>26</xdr:col>
      <xdr:colOff>438496</xdr:colOff>
      <xdr:row>25</xdr:row>
      <xdr:rowOff>124550</xdr:rowOff>
    </xdr:from>
    <xdr:to>
      <xdr:col>26</xdr:col>
      <xdr:colOff>769061</xdr:colOff>
      <xdr:row>123</xdr:row>
      <xdr:rowOff>104776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AAFB90F-C26D-4FC6-B0D4-82CB6366D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2377041" y="13341530"/>
          <a:ext cx="17715776" cy="330565"/>
        </a:xfrm>
        <a:prstGeom prst="rect">
          <a:avLst/>
        </a:prstGeom>
      </xdr:spPr>
    </xdr:pic>
    <xdr:clientData/>
  </xdr:twoCellAnchor>
  <xdr:twoCellAnchor editAs="oneCell">
    <xdr:from>
      <xdr:col>26</xdr:col>
      <xdr:colOff>438935</xdr:colOff>
      <xdr:row>122</xdr:row>
      <xdr:rowOff>178506</xdr:rowOff>
    </xdr:from>
    <xdr:to>
      <xdr:col>39</xdr:col>
      <xdr:colOff>695324</xdr:colOff>
      <xdr:row>124</xdr:row>
      <xdr:rowOff>135691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2A5524C-1BF8-4048-9CA7-6DA89C7BE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21119615" y="22489866"/>
          <a:ext cx="10558629" cy="322945"/>
        </a:xfrm>
        <a:prstGeom prst="rect">
          <a:avLst/>
        </a:prstGeom>
      </xdr:spPr>
    </xdr:pic>
    <xdr:clientData/>
  </xdr:twoCellAnchor>
  <xdr:twoCellAnchor editAs="oneCell">
    <xdr:from>
      <xdr:col>39</xdr:col>
      <xdr:colOff>366665</xdr:colOff>
      <xdr:row>0</xdr:row>
      <xdr:rowOff>0</xdr:rowOff>
    </xdr:from>
    <xdr:to>
      <xdr:col>39</xdr:col>
      <xdr:colOff>695370</xdr:colOff>
      <xdr:row>124</xdr:row>
      <xdr:rowOff>66674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0C8EEB3-C7C5-4D36-AE87-115ACF3F9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20142041" y="11207544"/>
          <a:ext cx="22743794" cy="328705"/>
        </a:xfrm>
        <a:prstGeom prst="rect">
          <a:avLst/>
        </a:prstGeom>
      </xdr:spPr>
    </xdr:pic>
    <xdr:clientData/>
  </xdr:twoCellAnchor>
  <xdr:twoCellAnchor editAs="oneCell">
    <xdr:from>
      <xdr:col>38</xdr:col>
      <xdr:colOff>106681</xdr:colOff>
      <xdr:row>0</xdr:row>
      <xdr:rowOff>0</xdr:rowOff>
    </xdr:from>
    <xdr:to>
      <xdr:col>39</xdr:col>
      <xdr:colOff>324860</xdr:colOff>
      <xdr:row>4</xdr:row>
      <xdr:rowOff>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E0FB139-E365-4EFB-BC47-F55EB0343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48136" y="0"/>
          <a:ext cx="1014815" cy="7389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175260</xdr:rowOff>
    </xdr:from>
    <xdr:to>
      <xdr:col>3</xdr:col>
      <xdr:colOff>358140</xdr:colOff>
      <xdr:row>22</xdr:row>
      <xdr:rowOff>122677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FBEE3A-B258-4390-96BA-CB47D2C1A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2540"/>
          <a:ext cx="2735580" cy="2873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167640</xdr:rowOff>
    </xdr:from>
    <xdr:to>
      <xdr:col>49</xdr:col>
      <xdr:colOff>350520</xdr:colOff>
      <xdr:row>36</xdr:row>
      <xdr:rowOff>142605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AEAEFA7-49FD-4A9D-ADE3-B2217C11B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85560"/>
          <a:ext cx="32087820" cy="340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151010</xdr:colOff>
      <xdr:row>4</xdr:row>
      <xdr:rowOff>10679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2CD49D8-11DF-46AF-9DA2-032A94F52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6970910" cy="742199"/>
        </a:xfrm>
        <a:prstGeom prst="rect">
          <a:avLst/>
        </a:prstGeom>
      </xdr:spPr>
    </xdr:pic>
    <xdr:clientData/>
  </xdr:twoCellAnchor>
  <xdr:twoCellAnchor editAs="oneCell">
    <xdr:from>
      <xdr:col>10</xdr:col>
      <xdr:colOff>543930</xdr:colOff>
      <xdr:row>0</xdr:row>
      <xdr:rowOff>0</xdr:rowOff>
    </xdr:from>
    <xdr:to>
      <xdr:col>49</xdr:col>
      <xdr:colOff>22859</xdr:colOff>
      <xdr:row>4</xdr:row>
      <xdr:rowOff>10679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51B81F4-0D6E-4DD0-AB1B-8B7FD8BEB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1350" y="0"/>
          <a:ext cx="25188809" cy="742199"/>
        </a:xfrm>
        <a:prstGeom prst="rect">
          <a:avLst/>
        </a:prstGeom>
      </xdr:spPr>
    </xdr:pic>
    <xdr:clientData/>
  </xdr:twoCellAnchor>
  <xdr:twoCellAnchor editAs="oneCell">
    <xdr:from>
      <xdr:col>10</xdr:col>
      <xdr:colOff>431800</xdr:colOff>
      <xdr:row>0</xdr:row>
      <xdr:rowOff>0</xdr:rowOff>
    </xdr:from>
    <xdr:to>
      <xdr:col>18</xdr:col>
      <xdr:colOff>151539</xdr:colOff>
      <xdr:row>4</xdr:row>
      <xdr:rowOff>12700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3B7C0C0-4667-4988-B83D-7EB4C8414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9220" y="0"/>
          <a:ext cx="4886099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241300</xdr:colOff>
      <xdr:row>0</xdr:row>
      <xdr:rowOff>0</xdr:rowOff>
    </xdr:from>
    <xdr:to>
      <xdr:col>20</xdr:col>
      <xdr:colOff>461113</xdr:colOff>
      <xdr:row>4</xdr:row>
      <xdr:rowOff>24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EA79D-6789-42E7-8A7D-2E316BCE7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56060" y="0"/>
          <a:ext cx="1012293" cy="731544"/>
        </a:xfrm>
        <a:prstGeom prst="rect">
          <a:avLst/>
        </a:prstGeom>
      </xdr:spPr>
    </xdr:pic>
    <xdr:clientData/>
  </xdr:twoCellAnchor>
  <xdr:twoCellAnchor editAs="oneCell">
    <xdr:from>
      <xdr:col>20</xdr:col>
      <xdr:colOff>421640</xdr:colOff>
      <xdr:row>0</xdr:row>
      <xdr:rowOff>0</xdr:rowOff>
    </xdr:from>
    <xdr:to>
      <xdr:col>28</xdr:col>
      <xdr:colOff>4988</xdr:colOff>
      <xdr:row>4</xdr:row>
      <xdr:rowOff>12700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C4475C1-F7FE-41C1-B067-69200D70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5100" y="0"/>
          <a:ext cx="4886868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200660</xdr:colOff>
      <xdr:row>0</xdr:row>
      <xdr:rowOff>0</xdr:rowOff>
    </xdr:from>
    <xdr:to>
      <xdr:col>30</xdr:col>
      <xdr:colOff>624579</xdr:colOff>
      <xdr:row>4</xdr:row>
      <xdr:rowOff>24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C65A30C-FFD5-4A10-8394-A081749AF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947640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0</xdr:row>
      <xdr:rowOff>0</xdr:rowOff>
    </xdr:from>
    <xdr:to>
      <xdr:col>38</xdr:col>
      <xdr:colOff>748076</xdr:colOff>
      <xdr:row>4</xdr:row>
      <xdr:rowOff>12700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1CA550F-806D-4D35-A624-FC46855CB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6520" y="0"/>
          <a:ext cx="4878116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7626</xdr:colOff>
      <xdr:row>0</xdr:row>
      <xdr:rowOff>0</xdr:rowOff>
    </xdr:from>
    <xdr:to>
      <xdr:col>49</xdr:col>
      <xdr:colOff>348351</xdr:colOff>
      <xdr:row>36</xdr:row>
      <xdr:rowOff>68583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3CE7F38E-52AB-412E-908B-98D6F21EA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28589157" y="3155769"/>
          <a:ext cx="6652263" cy="340725"/>
        </a:xfrm>
        <a:prstGeom prst="rect">
          <a:avLst/>
        </a:prstGeom>
      </xdr:spPr>
    </xdr:pic>
    <xdr:clientData/>
  </xdr:twoCellAnchor>
  <xdr:twoCellAnchor editAs="oneCell">
    <xdr:from>
      <xdr:col>41</xdr:col>
      <xdr:colOff>43180</xdr:colOff>
      <xdr:row>0</xdr:row>
      <xdr:rowOff>0</xdr:rowOff>
    </xdr:from>
    <xdr:to>
      <xdr:col>47</xdr:col>
      <xdr:colOff>166416</xdr:colOff>
      <xdr:row>4</xdr:row>
      <xdr:rowOff>12700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023016-D552-433B-9B8C-4DF872093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40640" y="0"/>
          <a:ext cx="4878116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284480</xdr:colOff>
      <xdr:row>0</xdr:row>
      <xdr:rowOff>0</xdr:rowOff>
    </xdr:from>
    <xdr:to>
      <xdr:col>40</xdr:col>
      <xdr:colOff>502659</xdr:colOff>
      <xdr:row>4</xdr:row>
      <xdr:rowOff>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878275-65FC-40D1-ABE4-0E0F35A0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096980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47</xdr:col>
      <xdr:colOff>383540</xdr:colOff>
      <xdr:row>0</xdr:row>
      <xdr:rowOff>0</xdr:rowOff>
    </xdr:from>
    <xdr:to>
      <xdr:col>48</xdr:col>
      <xdr:colOff>601719</xdr:colOff>
      <xdr:row>4</xdr:row>
      <xdr:rowOff>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DCB2A49-74E7-4183-8AC3-AAC81000B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535880" y="0"/>
          <a:ext cx="1010659" cy="7315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6985</xdr:rowOff>
    </xdr:from>
    <xdr:to>
      <xdr:col>3</xdr:col>
      <xdr:colOff>358140</xdr:colOff>
      <xdr:row>22</xdr:row>
      <xdr:rowOff>136965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C33764-F93C-4A5F-97EF-4E07745AA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7145"/>
          <a:ext cx="2735580" cy="2873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493910</xdr:colOff>
      <xdr:row>4</xdr:row>
      <xdr:rowOff>11949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A8B813-AA5E-49D1-804A-7389FA7B0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970910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203887</xdr:colOff>
      <xdr:row>0</xdr:row>
      <xdr:rowOff>0</xdr:rowOff>
    </xdr:from>
    <xdr:to>
      <xdr:col>36</xdr:col>
      <xdr:colOff>731520</xdr:colOff>
      <xdr:row>4</xdr:row>
      <xdr:rowOff>11949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C44F58-D32B-4345-873B-9EE5A3900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73267" y="0"/>
          <a:ext cx="24713513" cy="743469"/>
        </a:xfrm>
        <a:prstGeom prst="rect">
          <a:avLst/>
        </a:prstGeom>
      </xdr:spPr>
    </xdr:pic>
    <xdr:clientData/>
  </xdr:twoCellAnchor>
  <xdr:twoCellAnchor editAs="oneCell">
    <xdr:from>
      <xdr:col>8</xdr:col>
      <xdr:colOff>91757</xdr:colOff>
      <xdr:row>0</xdr:row>
      <xdr:rowOff>0</xdr:rowOff>
    </xdr:from>
    <xdr:to>
      <xdr:col>14</xdr:col>
      <xdr:colOff>221071</xdr:colOff>
      <xdr:row>4</xdr:row>
      <xdr:rowOff>13970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304A78-99DD-4716-8BED-48320B7BC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7820" y="0"/>
          <a:ext cx="4886099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210502</xdr:colOff>
      <xdr:row>0</xdr:row>
      <xdr:rowOff>0</xdr:rowOff>
    </xdr:from>
    <xdr:to>
      <xdr:col>15</xdr:col>
      <xdr:colOff>426505</xdr:colOff>
      <xdr:row>4</xdr:row>
      <xdr:rowOff>1294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D90DC13-D12E-4BD0-B8B3-3D393B68D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4762" y="0"/>
          <a:ext cx="1008483" cy="732814"/>
        </a:xfrm>
        <a:prstGeom prst="rect">
          <a:avLst/>
        </a:prstGeom>
      </xdr:spPr>
    </xdr:pic>
    <xdr:clientData/>
  </xdr:twoCellAnchor>
  <xdr:twoCellAnchor editAs="oneCell">
    <xdr:from>
      <xdr:col>15</xdr:col>
      <xdr:colOff>442912</xdr:colOff>
      <xdr:row>0</xdr:row>
      <xdr:rowOff>0</xdr:rowOff>
    </xdr:from>
    <xdr:to>
      <xdr:col>20</xdr:col>
      <xdr:colOff>778417</xdr:colOff>
      <xdr:row>4</xdr:row>
      <xdr:rowOff>13970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D0C2724-0A3D-4910-8B08-3747C19AD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5600" y="0"/>
          <a:ext cx="4886868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123195</xdr:rowOff>
    </xdr:from>
    <xdr:to>
      <xdr:col>37</xdr:col>
      <xdr:colOff>182879</xdr:colOff>
      <xdr:row>27</xdr:row>
      <xdr:rowOff>96516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308FDD8-66B0-46E8-9765-B3B71896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95195"/>
          <a:ext cx="31630619" cy="339081"/>
        </a:xfrm>
        <a:prstGeom prst="rect">
          <a:avLst/>
        </a:prstGeom>
      </xdr:spPr>
    </xdr:pic>
    <xdr:clientData/>
  </xdr:twoCellAnchor>
  <xdr:twoCellAnchor editAs="oneCell">
    <xdr:from>
      <xdr:col>21</xdr:col>
      <xdr:colOff>353059</xdr:colOff>
      <xdr:row>0</xdr:row>
      <xdr:rowOff>0</xdr:rowOff>
    </xdr:from>
    <xdr:to>
      <xdr:col>22</xdr:col>
      <xdr:colOff>576682</xdr:colOff>
      <xdr:row>4</xdr:row>
      <xdr:rowOff>1294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6B96DD-75EF-47E5-BFD5-B8446D661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81879" y="0"/>
          <a:ext cx="1016103" cy="732814"/>
        </a:xfrm>
        <a:prstGeom prst="rect">
          <a:avLst/>
        </a:prstGeom>
      </xdr:spPr>
    </xdr:pic>
    <xdr:clientData/>
  </xdr:twoCellAnchor>
  <xdr:twoCellAnchor editAs="oneCell">
    <xdr:from>
      <xdr:col>23</xdr:col>
      <xdr:colOff>6350</xdr:colOff>
      <xdr:row>0</xdr:row>
      <xdr:rowOff>0</xdr:rowOff>
    </xdr:from>
    <xdr:to>
      <xdr:col>28</xdr:col>
      <xdr:colOff>160246</xdr:colOff>
      <xdr:row>4</xdr:row>
      <xdr:rowOff>13970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2060503-5FA1-4B6C-8522-B0C021FED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04038" y="0"/>
          <a:ext cx="4886868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345122</xdr:colOff>
      <xdr:row>0</xdr:row>
      <xdr:rowOff>0</xdr:rowOff>
    </xdr:from>
    <xdr:to>
      <xdr:col>29</xdr:col>
      <xdr:colOff>309665</xdr:colOff>
      <xdr:row>4</xdr:row>
      <xdr:rowOff>1294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771D2DA-E954-4881-AB1F-0B4F9DC2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15662" y="0"/>
          <a:ext cx="1008483" cy="732814"/>
        </a:xfrm>
        <a:prstGeom prst="rect">
          <a:avLst/>
        </a:prstGeom>
      </xdr:spPr>
    </xdr:pic>
    <xdr:clientData/>
  </xdr:twoCellAnchor>
  <xdr:twoCellAnchor editAs="oneCell">
    <xdr:from>
      <xdr:col>29</xdr:col>
      <xdr:colOff>384810</xdr:colOff>
      <xdr:row>0</xdr:row>
      <xdr:rowOff>0</xdr:rowOff>
    </xdr:from>
    <xdr:to>
      <xdr:col>35</xdr:col>
      <xdr:colOff>104365</xdr:colOff>
      <xdr:row>4</xdr:row>
      <xdr:rowOff>13970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920011C-8264-4729-96A8-A1ABAA253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77370" y="0"/>
          <a:ext cx="4878295" cy="745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638659</xdr:colOff>
      <xdr:row>0</xdr:row>
      <xdr:rowOff>0</xdr:rowOff>
    </xdr:from>
    <xdr:to>
      <xdr:col>37</xdr:col>
      <xdr:colOff>184625</xdr:colOff>
      <xdr:row>26</xdr:row>
      <xdr:rowOff>53339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3696844-1151-4D84-A04E-17942B0FE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29059032" y="2234887"/>
          <a:ext cx="4808219" cy="338446"/>
        </a:xfrm>
        <a:prstGeom prst="rect">
          <a:avLst/>
        </a:prstGeom>
      </xdr:spPr>
    </xdr:pic>
    <xdr:clientData/>
  </xdr:twoCellAnchor>
  <xdr:twoCellAnchor editAs="oneCell">
    <xdr:from>
      <xdr:col>35</xdr:col>
      <xdr:colOff>284162</xdr:colOff>
      <xdr:row>0</xdr:row>
      <xdr:rowOff>0</xdr:rowOff>
    </xdr:from>
    <xdr:to>
      <xdr:col>36</xdr:col>
      <xdr:colOff>500165</xdr:colOff>
      <xdr:row>4</xdr:row>
      <xdr:rowOff>1294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9A98B39-A56F-421B-9670-97132DC9E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857382" y="0"/>
          <a:ext cx="1008483" cy="7328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175260</xdr:rowOff>
    </xdr:from>
    <xdr:to>
      <xdr:col>3</xdr:col>
      <xdr:colOff>358140</xdr:colOff>
      <xdr:row>22</xdr:row>
      <xdr:rowOff>122677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03E1E2-AE43-4D2B-A21F-9DB15907F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2540"/>
          <a:ext cx="2735580" cy="2873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67190</xdr:colOff>
      <xdr:row>4</xdr:row>
      <xdr:rowOff>10679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9C88E8-CDCC-4DD0-B7BF-46254DDB2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970910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460110</xdr:colOff>
      <xdr:row>0</xdr:row>
      <xdr:rowOff>0</xdr:rowOff>
    </xdr:from>
    <xdr:to>
      <xdr:col>39</xdr:col>
      <xdr:colOff>606363</xdr:colOff>
      <xdr:row>4</xdr:row>
      <xdr:rowOff>10679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7B4817-CE29-40AB-B988-C7A84C8C7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9950" y="0"/>
          <a:ext cx="24852606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347980</xdr:colOff>
      <xdr:row>0</xdr:row>
      <xdr:rowOff>0</xdr:rowOff>
    </xdr:from>
    <xdr:to>
      <xdr:col>14</xdr:col>
      <xdr:colOff>456339</xdr:colOff>
      <xdr:row>4</xdr:row>
      <xdr:rowOff>12700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4CDB174-3164-4B44-9532-DA52B3535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7820" y="0"/>
          <a:ext cx="488365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713740</xdr:colOff>
      <xdr:row>0</xdr:row>
      <xdr:rowOff>0</xdr:rowOff>
    </xdr:from>
    <xdr:to>
      <xdr:col>16</xdr:col>
      <xdr:colOff>125833</xdr:colOff>
      <xdr:row>4</xdr:row>
      <xdr:rowOff>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D09FC36-398D-46FF-BDA1-25CB40D20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02720" y="0"/>
          <a:ext cx="1012293" cy="731544"/>
        </a:xfrm>
        <a:prstGeom prst="rect">
          <a:avLst/>
        </a:prstGeom>
      </xdr:spPr>
    </xdr:pic>
    <xdr:clientData/>
  </xdr:twoCellAnchor>
  <xdr:twoCellAnchor editAs="oneCell">
    <xdr:from>
      <xdr:col>16</xdr:col>
      <xdr:colOff>375920</xdr:colOff>
      <xdr:row>0</xdr:row>
      <xdr:rowOff>0</xdr:rowOff>
    </xdr:from>
    <xdr:to>
      <xdr:col>22</xdr:col>
      <xdr:colOff>485048</xdr:colOff>
      <xdr:row>4</xdr:row>
      <xdr:rowOff>12700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48B86BF-FF91-4904-AF68-B13A3F8A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560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680720</xdr:colOff>
      <xdr:row>0</xdr:row>
      <xdr:rowOff>0</xdr:rowOff>
    </xdr:from>
    <xdr:to>
      <xdr:col>24</xdr:col>
      <xdr:colOff>106419</xdr:colOff>
      <xdr:row>4</xdr:row>
      <xdr:rowOff>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FB8800F-F6BA-4157-9561-C746A9283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86680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24</xdr:col>
      <xdr:colOff>294640</xdr:colOff>
      <xdr:row>0</xdr:row>
      <xdr:rowOff>0</xdr:rowOff>
    </xdr:from>
    <xdr:to>
      <xdr:col>30</xdr:col>
      <xdr:colOff>334056</xdr:colOff>
      <xdr:row>4</xdr:row>
      <xdr:rowOff>12700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0AA1546-D5C5-47DE-B2CA-961BDB712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14160" y="0"/>
          <a:ext cx="487934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434572</xdr:colOff>
      <xdr:row>0</xdr:row>
      <xdr:rowOff>0</xdr:rowOff>
    </xdr:from>
    <xdr:to>
      <xdr:col>31</xdr:col>
      <xdr:colOff>652751</xdr:colOff>
      <xdr:row>4</xdr:row>
      <xdr:rowOff>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22B02A4-6C66-4360-BFF1-5B6CE7953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208972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31</xdr:col>
      <xdr:colOff>741680</xdr:colOff>
      <xdr:row>0</xdr:row>
      <xdr:rowOff>0</xdr:rowOff>
    </xdr:from>
    <xdr:to>
      <xdr:col>38</xdr:col>
      <xdr:colOff>78740</xdr:colOff>
      <xdr:row>4</xdr:row>
      <xdr:rowOff>12700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D238984-502C-4797-9EFC-E08B1394D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0856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182881</xdr:colOff>
      <xdr:row>0</xdr:row>
      <xdr:rowOff>0</xdr:rowOff>
    </xdr:from>
    <xdr:to>
      <xdr:col>39</xdr:col>
      <xdr:colOff>401060</xdr:colOff>
      <xdr:row>4</xdr:row>
      <xdr:rowOff>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25EFE72-992D-46C7-A3C3-134826F8B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297121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121920</xdr:rowOff>
    </xdr:from>
    <xdr:to>
      <xdr:col>40</xdr:col>
      <xdr:colOff>104367</xdr:colOff>
      <xdr:row>27</xdr:row>
      <xdr:rowOff>96885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9105D84-E5F7-457F-A5B7-37D2A46E6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693920"/>
          <a:ext cx="31719747" cy="340725"/>
        </a:xfrm>
        <a:prstGeom prst="rect">
          <a:avLst/>
        </a:prstGeom>
      </xdr:spPr>
    </xdr:pic>
    <xdr:clientData/>
  </xdr:twoCellAnchor>
  <xdr:twoCellAnchor editAs="oneCell">
    <xdr:from>
      <xdr:col>19</xdr:col>
      <xdr:colOff>647701</xdr:colOff>
      <xdr:row>5</xdr:row>
      <xdr:rowOff>91440</xdr:rowOff>
    </xdr:from>
    <xdr:to>
      <xdr:col>26</xdr:col>
      <xdr:colOff>754379</xdr:colOff>
      <xdr:row>24</xdr:row>
      <xdr:rowOff>28296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216D722-16D1-8491-392C-7F8D3A3C8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76221" y="1005840"/>
          <a:ext cx="5654039" cy="3411576"/>
        </a:xfrm>
        <a:prstGeom prst="rect">
          <a:avLst/>
        </a:prstGeom>
      </xdr:spPr>
    </xdr:pic>
    <xdr:clientData/>
  </xdr:twoCellAnchor>
  <xdr:twoCellAnchor>
    <xdr:from>
      <xdr:col>19</xdr:col>
      <xdr:colOff>525779</xdr:colOff>
      <xdr:row>5</xdr:row>
      <xdr:rowOff>7620</xdr:rowOff>
    </xdr:from>
    <xdr:to>
      <xdr:col>27</xdr:col>
      <xdr:colOff>75138</xdr:colOff>
      <xdr:row>24</xdr:row>
      <xdr:rowOff>106680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87E93868-DB33-437B-A209-0A17AC054449}"/>
            </a:ext>
          </a:extLst>
        </xdr:cNvPr>
        <xdr:cNvSpPr/>
      </xdr:nvSpPr>
      <xdr:spPr>
        <a:xfrm>
          <a:off x="15354299" y="922020"/>
          <a:ext cx="5889199" cy="357378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39</xdr:col>
      <xdr:colOff>561156</xdr:colOff>
      <xdr:row>0</xdr:row>
      <xdr:rowOff>1</xdr:rowOff>
    </xdr:from>
    <xdr:to>
      <xdr:col>40</xdr:col>
      <xdr:colOff>109401</xdr:colOff>
      <xdr:row>26</xdr:row>
      <xdr:rowOff>175261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E479D84-C87C-42E6-ADA7-366409265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29089349" y="2294708"/>
          <a:ext cx="4930140" cy="340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631070</xdr:colOff>
      <xdr:row>4</xdr:row>
      <xdr:rowOff>10679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2BA3454-927F-4173-931A-E1C3675D0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70910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460110</xdr:colOff>
      <xdr:row>0</xdr:row>
      <xdr:rowOff>0</xdr:rowOff>
    </xdr:from>
    <xdr:to>
      <xdr:col>39</xdr:col>
      <xdr:colOff>751143</xdr:colOff>
      <xdr:row>4</xdr:row>
      <xdr:rowOff>10679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9D680E9-599F-40FC-ACC3-90522C7B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1350" y="0"/>
          <a:ext cx="24857913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347980</xdr:colOff>
      <xdr:row>0</xdr:row>
      <xdr:rowOff>0</xdr:rowOff>
    </xdr:from>
    <xdr:to>
      <xdr:col>14</xdr:col>
      <xdr:colOff>479199</xdr:colOff>
      <xdr:row>4</xdr:row>
      <xdr:rowOff>12700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050A3D5-31D8-4C9C-ADB0-8D6D410E3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9220" y="0"/>
          <a:ext cx="4886099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767080</xdr:colOff>
      <xdr:row>0</xdr:row>
      <xdr:rowOff>0</xdr:rowOff>
    </xdr:from>
    <xdr:to>
      <xdr:col>16</xdr:col>
      <xdr:colOff>194413</xdr:colOff>
      <xdr:row>4</xdr:row>
      <xdr:rowOff>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7C17A73-2570-4E62-98D3-2182E0D51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56060" y="0"/>
          <a:ext cx="1012293" cy="731544"/>
        </a:xfrm>
        <a:prstGeom prst="rect">
          <a:avLst/>
        </a:prstGeom>
      </xdr:spPr>
    </xdr:pic>
    <xdr:clientData/>
  </xdr:twoCellAnchor>
  <xdr:twoCellAnchor editAs="oneCell">
    <xdr:from>
      <xdr:col>16</xdr:col>
      <xdr:colOff>375920</xdr:colOff>
      <xdr:row>0</xdr:row>
      <xdr:rowOff>0</xdr:rowOff>
    </xdr:from>
    <xdr:to>
      <xdr:col>22</xdr:col>
      <xdr:colOff>507908</xdr:colOff>
      <xdr:row>4</xdr:row>
      <xdr:rowOff>12700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4E32B67-4D46-4040-9E6C-0C07971EA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5100" y="0"/>
          <a:ext cx="4886868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680720</xdr:colOff>
      <xdr:row>0</xdr:row>
      <xdr:rowOff>0</xdr:rowOff>
    </xdr:from>
    <xdr:to>
      <xdr:col>24</xdr:col>
      <xdr:colOff>106419</xdr:colOff>
      <xdr:row>4</xdr:row>
      <xdr:rowOff>24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8C3FB37-11BC-47C8-A2FA-3198A3DC3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47640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24</xdr:col>
      <xdr:colOff>294640</xdr:colOff>
      <xdr:row>0</xdr:row>
      <xdr:rowOff>0</xdr:rowOff>
    </xdr:from>
    <xdr:to>
      <xdr:col>30</xdr:col>
      <xdr:colOff>417876</xdr:colOff>
      <xdr:row>4</xdr:row>
      <xdr:rowOff>12700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A187716-1BF8-4D6B-84AE-EA6220B50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6520" y="0"/>
          <a:ext cx="4878116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434572</xdr:colOff>
      <xdr:row>0</xdr:row>
      <xdr:rowOff>0</xdr:rowOff>
    </xdr:from>
    <xdr:to>
      <xdr:col>31</xdr:col>
      <xdr:colOff>652751</xdr:colOff>
      <xdr:row>4</xdr:row>
      <xdr:rowOff>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D96B117-5E9B-4ED4-A4D2-06D69AEA8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125152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31</xdr:col>
      <xdr:colOff>741680</xdr:colOff>
      <xdr:row>0</xdr:row>
      <xdr:rowOff>0</xdr:rowOff>
    </xdr:from>
    <xdr:to>
      <xdr:col>38</xdr:col>
      <xdr:colOff>78740</xdr:colOff>
      <xdr:row>4</xdr:row>
      <xdr:rowOff>12700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3EA063C-20B9-481D-AB21-86808F32C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474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182881</xdr:colOff>
      <xdr:row>0</xdr:row>
      <xdr:rowOff>0</xdr:rowOff>
    </xdr:from>
    <xdr:to>
      <xdr:col>39</xdr:col>
      <xdr:colOff>401060</xdr:colOff>
      <xdr:row>4</xdr:row>
      <xdr:rowOff>24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400C17F-271C-4B3C-AD55-E00E8F4C3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213301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31867</xdr:rowOff>
    </xdr:from>
    <xdr:to>
      <xdr:col>17</xdr:col>
      <xdr:colOff>499534</xdr:colOff>
      <xdr:row>34</xdr:row>
      <xdr:rowOff>4553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DB38989-55E1-4668-BAE8-C3CAF1CF2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769279"/>
          <a:ext cx="13961534" cy="331274"/>
        </a:xfrm>
        <a:prstGeom prst="rect">
          <a:avLst/>
        </a:prstGeom>
      </xdr:spPr>
    </xdr:pic>
    <xdr:clientData/>
  </xdr:twoCellAnchor>
  <xdr:twoCellAnchor editAs="oneCell">
    <xdr:from>
      <xdr:col>39</xdr:col>
      <xdr:colOff>545916</xdr:colOff>
      <xdr:row>0</xdr:row>
      <xdr:rowOff>3</xdr:rowOff>
    </xdr:from>
    <xdr:to>
      <xdr:col>40</xdr:col>
      <xdr:colOff>94161</xdr:colOff>
      <xdr:row>90</xdr:row>
      <xdr:rowOff>110067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EC3C1A9-7A38-40CA-BE15-ACE2BB17D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23319740" y="8264979"/>
          <a:ext cx="16874064" cy="3441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167141</xdr:rowOff>
    </xdr:from>
    <xdr:to>
      <xdr:col>3</xdr:col>
      <xdr:colOff>358140</xdr:colOff>
      <xdr:row>22</xdr:row>
      <xdr:rowOff>114558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2BCB1DC-75F1-4EB1-BEC1-7108EF9AC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4421"/>
          <a:ext cx="2735580" cy="2873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723900</xdr:colOff>
      <xdr:row>8</xdr:row>
      <xdr:rowOff>99060</xdr:rowOff>
    </xdr:from>
    <xdr:to>
      <xdr:col>28</xdr:col>
      <xdr:colOff>76200</xdr:colOff>
      <xdr:row>85</xdr:row>
      <xdr:rowOff>60960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6536614B-4898-4366-9858-B6C0094365DF}"/>
            </a:ext>
          </a:extLst>
        </xdr:cNvPr>
        <xdr:cNvSpPr/>
      </xdr:nvSpPr>
      <xdr:spPr>
        <a:xfrm>
          <a:off x="14988540" y="1562100"/>
          <a:ext cx="7277100" cy="1386078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17</xdr:col>
      <xdr:colOff>156450</xdr:colOff>
      <xdr:row>32</xdr:row>
      <xdr:rowOff>126999</xdr:rowOff>
    </xdr:from>
    <xdr:to>
      <xdr:col>17</xdr:col>
      <xdr:colOff>500562</xdr:colOff>
      <xdr:row>90</xdr:row>
      <xdr:rowOff>118535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6D4666A7-675C-4AD5-8912-42B7CF912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8595208" y="10887653"/>
          <a:ext cx="10390595" cy="344112"/>
        </a:xfrm>
        <a:prstGeom prst="rect">
          <a:avLst/>
        </a:prstGeom>
      </xdr:spPr>
    </xdr:pic>
    <xdr:clientData/>
  </xdr:twoCellAnchor>
  <xdr:twoCellAnchor editAs="oneCell">
    <xdr:from>
      <xdr:col>17</xdr:col>
      <xdr:colOff>167637</xdr:colOff>
      <xdr:row>89</xdr:row>
      <xdr:rowOff>149682</xdr:rowOff>
    </xdr:from>
    <xdr:to>
      <xdr:col>40</xdr:col>
      <xdr:colOff>92364</xdr:colOff>
      <xdr:row>91</xdr:row>
      <xdr:rowOff>121261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EDAAF035-54DD-44A5-A36C-703D6C752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13645031" y="16405682"/>
          <a:ext cx="18158848" cy="341034"/>
        </a:xfrm>
        <a:prstGeom prst="rect">
          <a:avLst/>
        </a:prstGeom>
      </xdr:spPr>
    </xdr:pic>
    <xdr:clientData/>
  </xdr:twoCellAnchor>
  <xdr:twoCellAnchor>
    <xdr:from>
      <xdr:col>28</xdr:col>
      <xdr:colOff>716280</xdr:colOff>
      <xdr:row>8</xdr:row>
      <xdr:rowOff>114300</xdr:rowOff>
    </xdr:from>
    <xdr:to>
      <xdr:col>33</xdr:col>
      <xdr:colOff>68580</xdr:colOff>
      <xdr:row>17</xdr:row>
      <xdr:rowOff>68580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7F5F48-14E4-4BC2-B3E9-7A3CAD5EB7F9}"/>
            </a:ext>
          </a:extLst>
        </xdr:cNvPr>
        <xdr:cNvSpPr/>
      </xdr:nvSpPr>
      <xdr:spPr>
        <a:xfrm>
          <a:off x="22905720" y="1577340"/>
          <a:ext cx="3314700" cy="16002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457414</xdr:colOff>
      <xdr:row>17</xdr:row>
      <xdr:rowOff>114941</xdr:rowOff>
    </xdr:from>
    <xdr:to>
      <xdr:col>13</xdr:col>
      <xdr:colOff>261470</xdr:colOff>
      <xdr:row>32</xdr:row>
      <xdr:rowOff>82283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2BA792-72BF-003F-38E9-AF8FD0814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175260</xdr:rowOff>
    </xdr:from>
    <xdr:to>
      <xdr:col>3</xdr:col>
      <xdr:colOff>358140</xdr:colOff>
      <xdr:row>22</xdr:row>
      <xdr:rowOff>122677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C297D5-C53D-4440-BD5A-C94CA9C42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2540"/>
          <a:ext cx="2735580" cy="2873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631070</xdr:colOff>
      <xdr:row>4</xdr:row>
      <xdr:rowOff>10679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F1D9B2-8EC3-4FE4-9256-24FA18CAA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970910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231510</xdr:colOff>
      <xdr:row>0</xdr:row>
      <xdr:rowOff>0</xdr:rowOff>
    </xdr:from>
    <xdr:to>
      <xdr:col>39</xdr:col>
      <xdr:colOff>522543</xdr:colOff>
      <xdr:row>4</xdr:row>
      <xdr:rowOff>10679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1B5B17-E692-42DB-B1F7-B8D911420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1350" y="0"/>
          <a:ext cx="24857913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119380</xdr:colOff>
      <xdr:row>0</xdr:row>
      <xdr:rowOff>0</xdr:rowOff>
    </xdr:from>
    <xdr:to>
      <xdr:col>14</xdr:col>
      <xdr:colOff>250599</xdr:colOff>
      <xdr:row>4</xdr:row>
      <xdr:rowOff>12700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1F7F264-7651-4F3F-BB05-80C82CDF9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9220" y="0"/>
          <a:ext cx="4886099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508000</xdr:colOff>
      <xdr:row>0</xdr:row>
      <xdr:rowOff>0</xdr:rowOff>
    </xdr:from>
    <xdr:to>
      <xdr:col>15</xdr:col>
      <xdr:colOff>727813</xdr:colOff>
      <xdr:row>4</xdr:row>
      <xdr:rowOff>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BE25790-630E-4099-B35B-40A2174A7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02720" y="0"/>
          <a:ext cx="1012293" cy="731544"/>
        </a:xfrm>
        <a:prstGeom prst="rect">
          <a:avLst/>
        </a:prstGeom>
      </xdr:spPr>
    </xdr:pic>
    <xdr:clientData/>
  </xdr:twoCellAnchor>
  <xdr:twoCellAnchor editAs="oneCell">
    <xdr:from>
      <xdr:col>16</xdr:col>
      <xdr:colOff>185420</xdr:colOff>
      <xdr:row>0</xdr:row>
      <xdr:rowOff>0</xdr:rowOff>
    </xdr:from>
    <xdr:to>
      <xdr:col>22</xdr:col>
      <xdr:colOff>317408</xdr:colOff>
      <xdr:row>4</xdr:row>
      <xdr:rowOff>12700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46DFDBA-E327-423E-899C-0E820F09E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5100" y="0"/>
          <a:ext cx="4886868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513080</xdr:colOff>
      <xdr:row>0</xdr:row>
      <xdr:rowOff>0</xdr:rowOff>
    </xdr:from>
    <xdr:to>
      <xdr:col>23</xdr:col>
      <xdr:colOff>731259</xdr:colOff>
      <xdr:row>4</xdr:row>
      <xdr:rowOff>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A92980E-65A2-4C06-9972-A287A3484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947640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24</xdr:col>
      <xdr:colOff>127000</xdr:colOff>
      <xdr:row>0</xdr:row>
      <xdr:rowOff>0</xdr:rowOff>
    </xdr:from>
    <xdr:to>
      <xdr:col>30</xdr:col>
      <xdr:colOff>250236</xdr:colOff>
      <xdr:row>4</xdr:row>
      <xdr:rowOff>12700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595E240-11C7-4A8D-ADBB-E0E25AEF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6520" y="0"/>
          <a:ext cx="4878116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350752</xdr:colOff>
      <xdr:row>0</xdr:row>
      <xdr:rowOff>0</xdr:rowOff>
    </xdr:from>
    <xdr:to>
      <xdr:col>31</xdr:col>
      <xdr:colOff>568931</xdr:colOff>
      <xdr:row>4</xdr:row>
      <xdr:rowOff>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3B66D3-BC38-42F4-86F2-E82AF13AC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25152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31</xdr:col>
      <xdr:colOff>657860</xdr:colOff>
      <xdr:row>0</xdr:row>
      <xdr:rowOff>0</xdr:rowOff>
    </xdr:from>
    <xdr:to>
      <xdr:col>37</xdr:col>
      <xdr:colOff>787400</xdr:colOff>
      <xdr:row>4</xdr:row>
      <xdr:rowOff>12700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1323423-AA50-492E-9904-D90F9EACD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474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99061</xdr:colOff>
      <xdr:row>0</xdr:row>
      <xdr:rowOff>0</xdr:rowOff>
    </xdr:from>
    <xdr:to>
      <xdr:col>39</xdr:col>
      <xdr:colOff>317240</xdr:colOff>
      <xdr:row>4</xdr:row>
      <xdr:rowOff>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6757A18-2715-4748-BB6A-73ADA6D2C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213301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121920</xdr:rowOff>
    </xdr:from>
    <xdr:to>
      <xdr:col>40</xdr:col>
      <xdr:colOff>20547</xdr:colOff>
      <xdr:row>27</xdr:row>
      <xdr:rowOff>96885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4C01852-1937-485E-9675-1BAC686D2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93920"/>
          <a:ext cx="31719747" cy="340725"/>
        </a:xfrm>
        <a:prstGeom prst="rect">
          <a:avLst/>
        </a:prstGeom>
      </xdr:spPr>
    </xdr:pic>
    <xdr:clientData/>
  </xdr:twoCellAnchor>
  <xdr:twoCellAnchor editAs="oneCell">
    <xdr:from>
      <xdr:col>39</xdr:col>
      <xdr:colOff>477336</xdr:colOff>
      <xdr:row>0</xdr:row>
      <xdr:rowOff>1</xdr:rowOff>
    </xdr:from>
    <xdr:to>
      <xdr:col>40</xdr:col>
      <xdr:colOff>25581</xdr:colOff>
      <xdr:row>26</xdr:row>
      <xdr:rowOff>175261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FC3C86D-618D-449C-8827-4077EC26E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29089349" y="2294708"/>
          <a:ext cx="4930140" cy="3407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175260</xdr:rowOff>
    </xdr:from>
    <xdr:to>
      <xdr:col>3</xdr:col>
      <xdr:colOff>358140</xdr:colOff>
      <xdr:row>22</xdr:row>
      <xdr:rowOff>122677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6C5F4C-6E0B-4D7C-A38B-36AFE2A65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3624"/>
          <a:ext cx="2736504" cy="2903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13850</xdr:colOff>
      <xdr:row>4</xdr:row>
      <xdr:rowOff>10679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76D325-CCED-43B7-9494-876B7378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970910" cy="74219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51</xdr:col>
      <xdr:colOff>91440</xdr:colOff>
      <xdr:row>4</xdr:row>
      <xdr:rowOff>10679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4EA53E-B307-405A-9CF6-698B3409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84620" y="0"/>
          <a:ext cx="30220920" cy="74219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108359</xdr:colOff>
      <xdr:row>4</xdr:row>
      <xdr:rowOff>12700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1832675-25B3-4648-9E46-F194E7B57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9220" y="0"/>
          <a:ext cx="4886099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264160</xdr:colOff>
      <xdr:row>0</xdr:row>
      <xdr:rowOff>0</xdr:rowOff>
    </xdr:from>
    <xdr:to>
      <xdr:col>19</xdr:col>
      <xdr:colOff>483973</xdr:colOff>
      <xdr:row>4</xdr:row>
      <xdr:rowOff>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47122FD-A7A9-4367-BE4F-CA7F239B9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26520" y="0"/>
          <a:ext cx="1012293" cy="731544"/>
        </a:xfrm>
        <a:prstGeom prst="rect">
          <a:avLst/>
        </a:prstGeom>
      </xdr:spPr>
    </xdr:pic>
    <xdr:clientData/>
  </xdr:twoCellAnchor>
  <xdr:twoCellAnchor editAs="oneCell">
    <xdr:from>
      <xdr:col>19</xdr:col>
      <xdr:colOff>695960</xdr:colOff>
      <xdr:row>0</xdr:row>
      <xdr:rowOff>0</xdr:rowOff>
    </xdr:from>
    <xdr:to>
      <xdr:col>27</xdr:col>
      <xdr:colOff>43088</xdr:colOff>
      <xdr:row>4</xdr:row>
      <xdr:rowOff>12700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DE99733-43E6-4C8D-8A7C-07CA565E5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5580" y="0"/>
          <a:ext cx="4886868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231140</xdr:colOff>
      <xdr:row>0</xdr:row>
      <xdr:rowOff>0</xdr:rowOff>
    </xdr:from>
    <xdr:to>
      <xdr:col>28</xdr:col>
      <xdr:colOff>449319</xdr:colOff>
      <xdr:row>4</xdr:row>
      <xdr:rowOff>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F647507-8D4F-4C6D-811F-7EEA2CE22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25720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28</xdr:col>
      <xdr:colOff>713740</xdr:colOff>
      <xdr:row>0</xdr:row>
      <xdr:rowOff>0</xdr:rowOff>
    </xdr:from>
    <xdr:to>
      <xdr:col>35</xdr:col>
      <xdr:colOff>44496</xdr:colOff>
      <xdr:row>4</xdr:row>
      <xdr:rowOff>12700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83C30BD-F08D-442C-80AA-58A1EDC8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00800" y="0"/>
          <a:ext cx="4878116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305032</xdr:colOff>
      <xdr:row>0</xdr:row>
      <xdr:rowOff>0</xdr:rowOff>
    </xdr:from>
    <xdr:to>
      <xdr:col>36</xdr:col>
      <xdr:colOff>523211</xdr:colOff>
      <xdr:row>4</xdr:row>
      <xdr:rowOff>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4539BDE-2A4E-4FCF-BF83-77E5F3E8E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239452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37</xdr:col>
      <xdr:colOff>17780</xdr:colOff>
      <xdr:row>0</xdr:row>
      <xdr:rowOff>0</xdr:rowOff>
    </xdr:from>
    <xdr:to>
      <xdr:col>43</xdr:col>
      <xdr:colOff>147320</xdr:colOff>
      <xdr:row>4</xdr:row>
      <xdr:rowOff>12700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E40DACE-B4A8-4BD5-9377-132AED60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3716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441961</xdr:colOff>
      <xdr:row>0</xdr:row>
      <xdr:rowOff>0</xdr:rowOff>
    </xdr:from>
    <xdr:to>
      <xdr:col>44</xdr:col>
      <xdr:colOff>660140</xdr:colOff>
      <xdr:row>4</xdr:row>
      <xdr:rowOff>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9226252-28A5-4924-BD02-4F8C82199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16221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167640</xdr:rowOff>
    </xdr:from>
    <xdr:to>
      <xdr:col>51</xdr:col>
      <xdr:colOff>403860</xdr:colOff>
      <xdr:row>112</xdr:row>
      <xdr:rowOff>142605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81C60E9-7A53-4157-8BA8-762425AB2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0284440"/>
          <a:ext cx="37017960" cy="340725"/>
        </a:xfrm>
        <a:prstGeom prst="rect">
          <a:avLst/>
        </a:prstGeom>
      </xdr:spPr>
    </xdr:pic>
    <xdr:clientData/>
  </xdr:twoCellAnchor>
  <xdr:twoCellAnchor>
    <xdr:from>
      <xdr:col>17</xdr:col>
      <xdr:colOff>723900</xdr:colOff>
      <xdr:row>31</xdr:row>
      <xdr:rowOff>99060</xdr:rowOff>
    </xdr:from>
    <xdr:to>
      <xdr:col>27</xdr:col>
      <xdr:colOff>68580</xdr:colOff>
      <xdr:row>108</xdr:row>
      <xdr:rowOff>60960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45FA9FA2-FCB4-4774-8E30-73D28E8F511C}"/>
            </a:ext>
          </a:extLst>
        </xdr:cNvPr>
        <xdr:cNvSpPr/>
      </xdr:nvSpPr>
      <xdr:spPr>
        <a:xfrm>
          <a:off x="11338560" y="4671060"/>
          <a:ext cx="7269480" cy="1404366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44</xdr:col>
      <xdr:colOff>756920</xdr:colOff>
      <xdr:row>0</xdr:row>
      <xdr:rowOff>0</xdr:rowOff>
    </xdr:from>
    <xdr:to>
      <xdr:col>51</xdr:col>
      <xdr:colOff>93980</xdr:colOff>
      <xdr:row>4</xdr:row>
      <xdr:rowOff>12700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E07ABA6-E5BF-4404-8C0F-65B8837C0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366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73476</xdr:colOff>
      <xdr:row>0</xdr:row>
      <xdr:rowOff>1</xdr:rowOff>
    </xdr:from>
    <xdr:to>
      <xdr:col>51</xdr:col>
      <xdr:colOff>414201</xdr:colOff>
      <xdr:row>112</xdr:row>
      <xdr:rowOff>144783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D4512FA-8960-4FBE-B89A-08A93424F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26544268" y="10143309"/>
          <a:ext cx="20627342" cy="3407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631070</xdr:colOff>
      <xdr:row>4</xdr:row>
      <xdr:rowOff>10679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4EFF0A-452A-42CA-BB6D-815984E26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70910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460110</xdr:colOff>
      <xdr:row>0</xdr:row>
      <xdr:rowOff>0</xdr:rowOff>
    </xdr:from>
    <xdr:to>
      <xdr:col>39</xdr:col>
      <xdr:colOff>751143</xdr:colOff>
      <xdr:row>4</xdr:row>
      <xdr:rowOff>10679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79B3BB-E419-4E84-8E1E-65A8BABB9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9950" y="0"/>
          <a:ext cx="24857913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347980</xdr:colOff>
      <xdr:row>0</xdr:row>
      <xdr:rowOff>0</xdr:rowOff>
    </xdr:from>
    <xdr:to>
      <xdr:col>14</xdr:col>
      <xdr:colOff>479199</xdr:colOff>
      <xdr:row>4</xdr:row>
      <xdr:rowOff>12700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B1AC36-4899-4670-962E-5634AD5AE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7820" y="0"/>
          <a:ext cx="4886099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767080</xdr:colOff>
      <xdr:row>0</xdr:row>
      <xdr:rowOff>0</xdr:rowOff>
    </xdr:from>
    <xdr:to>
      <xdr:col>16</xdr:col>
      <xdr:colOff>194413</xdr:colOff>
      <xdr:row>4</xdr:row>
      <xdr:rowOff>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BAB541-3387-4877-8555-88FC667D6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61800" y="0"/>
          <a:ext cx="1012293" cy="731544"/>
        </a:xfrm>
        <a:prstGeom prst="rect">
          <a:avLst/>
        </a:prstGeom>
      </xdr:spPr>
    </xdr:pic>
    <xdr:clientData/>
  </xdr:twoCellAnchor>
  <xdr:twoCellAnchor editAs="oneCell">
    <xdr:from>
      <xdr:col>16</xdr:col>
      <xdr:colOff>375920</xdr:colOff>
      <xdr:row>0</xdr:row>
      <xdr:rowOff>0</xdr:rowOff>
    </xdr:from>
    <xdr:to>
      <xdr:col>22</xdr:col>
      <xdr:colOff>507908</xdr:colOff>
      <xdr:row>4</xdr:row>
      <xdr:rowOff>12700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9828C01-656A-4436-AE9C-FAB751B37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5600" y="0"/>
          <a:ext cx="4886868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680720</xdr:colOff>
      <xdr:row>0</xdr:row>
      <xdr:rowOff>0</xdr:rowOff>
    </xdr:from>
    <xdr:to>
      <xdr:col>24</xdr:col>
      <xdr:colOff>106419</xdr:colOff>
      <xdr:row>4</xdr:row>
      <xdr:rowOff>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10038A3-ADF1-4CB2-9C87-A74DBA56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15280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24</xdr:col>
      <xdr:colOff>294640</xdr:colOff>
      <xdr:row>0</xdr:row>
      <xdr:rowOff>0</xdr:rowOff>
    </xdr:from>
    <xdr:to>
      <xdr:col>30</xdr:col>
      <xdr:colOff>417876</xdr:colOff>
      <xdr:row>4</xdr:row>
      <xdr:rowOff>12700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5DCC807-954C-4D8A-9DF2-BC258FD3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14160" y="0"/>
          <a:ext cx="4878116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434572</xdr:colOff>
      <xdr:row>0</xdr:row>
      <xdr:rowOff>0</xdr:rowOff>
    </xdr:from>
    <xdr:to>
      <xdr:col>31</xdr:col>
      <xdr:colOff>652751</xdr:colOff>
      <xdr:row>4</xdr:row>
      <xdr:rowOff>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531825C-5192-4B23-BA74-918166071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208972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31</xdr:col>
      <xdr:colOff>741680</xdr:colOff>
      <xdr:row>0</xdr:row>
      <xdr:rowOff>0</xdr:rowOff>
    </xdr:from>
    <xdr:to>
      <xdr:col>38</xdr:col>
      <xdr:colOff>78740</xdr:colOff>
      <xdr:row>4</xdr:row>
      <xdr:rowOff>12700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4FB1043-BC8F-4B4D-8CEB-F658F166D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0856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182881</xdr:colOff>
      <xdr:row>0</xdr:row>
      <xdr:rowOff>0</xdr:rowOff>
    </xdr:from>
    <xdr:to>
      <xdr:col>39</xdr:col>
      <xdr:colOff>401060</xdr:colOff>
      <xdr:row>4</xdr:row>
      <xdr:rowOff>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29AF1E1-12CA-47BF-955C-9495869B0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297121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6874</xdr:rowOff>
    </xdr:from>
    <xdr:to>
      <xdr:col>17</xdr:col>
      <xdr:colOff>499534</xdr:colOff>
      <xdr:row>34</xdr:row>
      <xdr:rowOff>164287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6BB169D-C9A3-4C09-84DA-C65613D02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102874"/>
          <a:ext cx="13976928" cy="342140"/>
        </a:xfrm>
        <a:prstGeom prst="rect">
          <a:avLst/>
        </a:prstGeom>
      </xdr:spPr>
    </xdr:pic>
    <xdr:clientData/>
  </xdr:twoCellAnchor>
  <xdr:twoCellAnchor editAs="oneCell">
    <xdr:from>
      <xdr:col>39</xdr:col>
      <xdr:colOff>545916</xdr:colOff>
      <xdr:row>0</xdr:row>
      <xdr:rowOff>3</xdr:rowOff>
    </xdr:from>
    <xdr:to>
      <xdr:col>40</xdr:col>
      <xdr:colOff>94161</xdr:colOff>
      <xdr:row>90</xdr:row>
      <xdr:rowOff>110067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ED6CC49-EBAA-49E5-AC07-7415AE5CE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23338367" y="8114272"/>
          <a:ext cx="16569264" cy="340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167141</xdr:rowOff>
    </xdr:from>
    <xdr:to>
      <xdr:col>3</xdr:col>
      <xdr:colOff>358140</xdr:colOff>
      <xdr:row>22</xdr:row>
      <xdr:rowOff>114558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2800F1C-8F8F-4740-A690-8777218A1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4421"/>
          <a:ext cx="2735580" cy="2873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156450</xdr:colOff>
      <xdr:row>34</xdr:row>
      <xdr:rowOff>69272</xdr:rowOff>
    </xdr:from>
    <xdr:to>
      <xdr:col>17</xdr:col>
      <xdr:colOff>500562</xdr:colOff>
      <xdr:row>90</xdr:row>
      <xdr:rowOff>118535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9A554C7-A3A6-4D5B-B81E-5F4DA44B2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8608904" y="11374939"/>
          <a:ext cx="10393991" cy="344112"/>
        </a:xfrm>
        <a:prstGeom prst="rect">
          <a:avLst/>
        </a:prstGeom>
      </xdr:spPr>
    </xdr:pic>
    <xdr:clientData/>
  </xdr:twoCellAnchor>
  <xdr:twoCellAnchor editAs="oneCell">
    <xdr:from>
      <xdr:col>17</xdr:col>
      <xdr:colOff>167637</xdr:colOff>
      <xdr:row>89</xdr:row>
      <xdr:rowOff>149682</xdr:rowOff>
    </xdr:from>
    <xdr:to>
      <xdr:col>40</xdr:col>
      <xdr:colOff>92364</xdr:colOff>
      <xdr:row>91</xdr:row>
      <xdr:rowOff>121261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AA25740-F0F3-4027-BDED-4848E047A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13639797" y="16426002"/>
          <a:ext cx="18151767" cy="337339"/>
        </a:xfrm>
        <a:prstGeom prst="rect">
          <a:avLst/>
        </a:prstGeom>
      </xdr:spPr>
    </xdr:pic>
    <xdr:clientData/>
  </xdr:twoCellAnchor>
  <xdr:twoCellAnchor>
    <xdr:from>
      <xdr:col>18</xdr:col>
      <xdr:colOff>723900</xdr:colOff>
      <xdr:row>8</xdr:row>
      <xdr:rowOff>99060</xdr:rowOff>
    </xdr:from>
    <xdr:to>
      <xdr:col>28</xdr:col>
      <xdr:colOff>76969</xdr:colOff>
      <xdr:row>85</xdr:row>
      <xdr:rowOff>60960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551ADCD6-581D-4E3E-AE7A-848E827CC508}"/>
            </a:ext>
          </a:extLst>
        </xdr:cNvPr>
        <xdr:cNvSpPr/>
      </xdr:nvSpPr>
      <xdr:spPr>
        <a:xfrm>
          <a:off x="14994082" y="1576878"/>
          <a:ext cx="7280948" cy="141859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716280</xdr:colOff>
      <xdr:row>8</xdr:row>
      <xdr:rowOff>114300</xdr:rowOff>
    </xdr:from>
    <xdr:to>
      <xdr:col>33</xdr:col>
      <xdr:colOff>68580</xdr:colOff>
      <xdr:row>17</xdr:row>
      <xdr:rowOff>68580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D472CBF2-EF9C-4870-ABC4-FD13FCAABA90}"/>
            </a:ext>
          </a:extLst>
        </xdr:cNvPr>
        <xdr:cNvSpPr/>
      </xdr:nvSpPr>
      <xdr:spPr>
        <a:xfrm>
          <a:off x="22905720" y="1577340"/>
          <a:ext cx="3314700" cy="16002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446425</xdr:colOff>
      <xdr:row>18</xdr:row>
      <xdr:rowOff>25400</xdr:rowOff>
    </xdr:from>
    <xdr:to>
      <xdr:col>13</xdr:col>
      <xdr:colOff>261698</xdr:colOff>
      <xdr:row>32</xdr:row>
      <xdr:rowOff>182418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371C0C7F-EB98-FBBA-D4B1-3B99C6973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648850</xdr:colOff>
      <xdr:row>4</xdr:row>
      <xdr:rowOff>30999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78B5BF-23BC-40EE-AC22-C9155BCB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88690" cy="762519"/>
        </a:xfrm>
        <a:prstGeom prst="rect">
          <a:avLst/>
        </a:prstGeom>
      </xdr:spPr>
    </xdr:pic>
    <xdr:clientData/>
  </xdr:twoCellAnchor>
  <xdr:twoCellAnchor editAs="oneCell">
    <xdr:from>
      <xdr:col>8</xdr:col>
      <xdr:colOff>525780</xdr:colOff>
      <xdr:row>0</xdr:row>
      <xdr:rowOff>0</xdr:rowOff>
    </xdr:from>
    <xdr:to>
      <xdr:col>46</xdr:col>
      <xdr:colOff>381000</xdr:colOff>
      <xdr:row>4</xdr:row>
      <xdr:rowOff>30999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E5B4AB-5FBF-4E0A-A197-1C2DF7C67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5620" y="0"/>
          <a:ext cx="29969460" cy="7625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25688</xdr:rowOff>
    </xdr:from>
    <xdr:to>
      <xdr:col>3</xdr:col>
      <xdr:colOff>365760</xdr:colOff>
      <xdr:row>23</xdr:row>
      <xdr:rowOff>49305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E966A7-C235-442C-82AF-103393B6A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5848"/>
          <a:ext cx="2743200" cy="2949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541020</xdr:colOff>
      <xdr:row>0</xdr:row>
      <xdr:rowOff>0</xdr:rowOff>
    </xdr:from>
    <xdr:to>
      <xdr:col>14</xdr:col>
      <xdr:colOff>701040</xdr:colOff>
      <xdr:row>4</xdr:row>
      <xdr:rowOff>33020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50CBF4E-46E5-4F4F-96D1-7495F1800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086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739140</xdr:colOff>
      <xdr:row>0</xdr:row>
      <xdr:rowOff>0</xdr:rowOff>
    </xdr:from>
    <xdr:to>
      <xdr:col>16</xdr:col>
      <xdr:colOff>169919</xdr:colOff>
      <xdr:row>4</xdr:row>
      <xdr:rowOff>20344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E27876F-DF20-43C1-950F-AE6A112E2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3386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16</xdr:col>
      <xdr:colOff>533400</xdr:colOff>
      <xdr:row>0</xdr:row>
      <xdr:rowOff>0</xdr:rowOff>
    </xdr:from>
    <xdr:to>
      <xdr:col>22</xdr:col>
      <xdr:colOff>693420</xdr:colOff>
      <xdr:row>4</xdr:row>
      <xdr:rowOff>33020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8640C31-DA85-47A7-B5F1-F29C53BA8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08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685800</xdr:colOff>
      <xdr:row>0</xdr:row>
      <xdr:rowOff>0</xdr:rowOff>
    </xdr:from>
    <xdr:to>
      <xdr:col>24</xdr:col>
      <xdr:colOff>116579</xdr:colOff>
      <xdr:row>4</xdr:row>
      <xdr:rowOff>20344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999831E-D10D-4EF7-A6BA-0C9595C2A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2036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24</xdr:col>
      <xdr:colOff>487680</xdr:colOff>
      <xdr:row>0</xdr:row>
      <xdr:rowOff>0</xdr:rowOff>
    </xdr:from>
    <xdr:to>
      <xdr:col>30</xdr:col>
      <xdr:colOff>647700</xdr:colOff>
      <xdr:row>4</xdr:row>
      <xdr:rowOff>33020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4418657-B7CB-4C8E-9FED-303104ED2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720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640080</xdr:colOff>
      <xdr:row>0</xdr:row>
      <xdr:rowOff>0</xdr:rowOff>
    </xdr:from>
    <xdr:to>
      <xdr:col>32</xdr:col>
      <xdr:colOff>70859</xdr:colOff>
      <xdr:row>4</xdr:row>
      <xdr:rowOff>20344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62543A5-EE28-415D-8923-E2E417FE8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1448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32</xdr:col>
      <xdr:colOff>182880</xdr:colOff>
      <xdr:row>0</xdr:row>
      <xdr:rowOff>0</xdr:rowOff>
    </xdr:from>
    <xdr:to>
      <xdr:col>38</xdr:col>
      <xdr:colOff>342900</xdr:colOff>
      <xdr:row>4</xdr:row>
      <xdr:rowOff>33020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AB8C513-D808-4B15-BCC5-3DB5867A3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4224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723900</xdr:colOff>
      <xdr:row>8</xdr:row>
      <xdr:rowOff>99060</xdr:rowOff>
    </xdr:from>
    <xdr:to>
      <xdr:col>28</xdr:col>
      <xdr:colOff>68580</xdr:colOff>
      <xdr:row>85</xdr:row>
      <xdr:rowOff>60960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EF209D79-81A3-4B4D-9B9C-8B6F640B2773}"/>
            </a:ext>
          </a:extLst>
        </xdr:cNvPr>
        <xdr:cNvSpPr/>
      </xdr:nvSpPr>
      <xdr:spPr>
        <a:xfrm>
          <a:off x="14988540" y="1562100"/>
          <a:ext cx="7269480" cy="1404366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716280</xdr:colOff>
      <xdr:row>8</xdr:row>
      <xdr:rowOff>114300</xdr:rowOff>
    </xdr:from>
    <xdr:to>
      <xdr:col>33</xdr:col>
      <xdr:colOff>68580</xdr:colOff>
      <xdr:row>17</xdr:row>
      <xdr:rowOff>68580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68609AEB-35B5-482B-B8E8-D6BF7356D591}"/>
            </a:ext>
          </a:extLst>
        </xdr:cNvPr>
        <xdr:cNvSpPr/>
      </xdr:nvSpPr>
      <xdr:spPr>
        <a:xfrm>
          <a:off x="22905720" y="1577340"/>
          <a:ext cx="3314700" cy="16002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716280</xdr:colOff>
      <xdr:row>8</xdr:row>
      <xdr:rowOff>114300</xdr:rowOff>
    </xdr:from>
    <xdr:to>
      <xdr:col>33</xdr:col>
      <xdr:colOff>68580</xdr:colOff>
      <xdr:row>17</xdr:row>
      <xdr:rowOff>68580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D3CF72BF-3550-4708-96D9-426EAFC64AD5}"/>
            </a:ext>
          </a:extLst>
        </xdr:cNvPr>
        <xdr:cNvSpPr/>
      </xdr:nvSpPr>
      <xdr:spPr>
        <a:xfrm>
          <a:off x="22905720" y="1577340"/>
          <a:ext cx="3314700" cy="16002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0</xdr:colOff>
      <xdr:row>33</xdr:row>
      <xdr:rowOff>23959</xdr:rowOff>
    </xdr:from>
    <xdr:to>
      <xdr:col>17</xdr:col>
      <xdr:colOff>504768</xdr:colOff>
      <xdr:row>35</xdr:row>
      <xdr:rowOff>339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94A92B9-606F-49D6-A020-23A0B3008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058999"/>
          <a:ext cx="13976928" cy="342140"/>
        </a:xfrm>
        <a:prstGeom prst="rect">
          <a:avLst/>
        </a:prstGeom>
      </xdr:spPr>
    </xdr:pic>
    <xdr:clientData/>
  </xdr:twoCellAnchor>
  <xdr:twoCellAnchor editAs="oneCell">
    <xdr:from>
      <xdr:col>46</xdr:col>
      <xdr:colOff>375043</xdr:colOff>
      <xdr:row>0</xdr:row>
      <xdr:rowOff>0</xdr:rowOff>
    </xdr:from>
    <xdr:to>
      <xdr:col>46</xdr:col>
      <xdr:colOff>716076</xdr:colOff>
      <xdr:row>91</xdr:row>
      <xdr:rowOff>93439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7AB8200-8EE4-4CAF-B517-7EF675E02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28631880" y="8197243"/>
          <a:ext cx="16735519" cy="341033"/>
        </a:xfrm>
        <a:prstGeom prst="rect">
          <a:avLst/>
        </a:prstGeom>
      </xdr:spPr>
    </xdr:pic>
    <xdr:clientData/>
  </xdr:twoCellAnchor>
  <xdr:twoCellAnchor editAs="oneCell">
    <xdr:from>
      <xdr:col>17</xdr:col>
      <xdr:colOff>161684</xdr:colOff>
      <xdr:row>33</xdr:row>
      <xdr:rowOff>91440</xdr:rowOff>
    </xdr:from>
    <xdr:to>
      <xdr:col>17</xdr:col>
      <xdr:colOff>505796</xdr:colOff>
      <xdr:row>91</xdr:row>
      <xdr:rowOff>101908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6F45D03-DC4D-4EA2-A3CB-56274260A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8497146" y="11263178"/>
          <a:ext cx="10617508" cy="344112"/>
        </a:xfrm>
        <a:prstGeom prst="rect">
          <a:avLst/>
        </a:prstGeom>
      </xdr:spPr>
    </xdr:pic>
    <xdr:clientData/>
  </xdr:twoCellAnchor>
  <xdr:twoCellAnchor editAs="oneCell">
    <xdr:from>
      <xdr:col>17</xdr:col>
      <xdr:colOff>160017</xdr:colOff>
      <xdr:row>90</xdr:row>
      <xdr:rowOff>131206</xdr:rowOff>
    </xdr:from>
    <xdr:to>
      <xdr:col>46</xdr:col>
      <xdr:colOff>716279</xdr:colOff>
      <xdr:row>92</xdr:row>
      <xdr:rowOff>106480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A6C7AC6-3F54-4876-88AC-EB7E3D84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13632177" y="16590406"/>
          <a:ext cx="23538182" cy="341034"/>
        </a:xfrm>
        <a:prstGeom prst="rect">
          <a:avLst/>
        </a:prstGeom>
      </xdr:spPr>
    </xdr:pic>
    <xdr:clientData/>
  </xdr:twoCellAnchor>
  <xdr:twoCellAnchor editAs="oneCell">
    <xdr:from>
      <xdr:col>38</xdr:col>
      <xdr:colOff>548640</xdr:colOff>
      <xdr:row>0</xdr:row>
      <xdr:rowOff>0</xdr:rowOff>
    </xdr:from>
    <xdr:to>
      <xdr:col>39</xdr:col>
      <xdr:colOff>771899</xdr:colOff>
      <xdr:row>4</xdr:row>
      <xdr:rowOff>20344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DA429D26-E5DD-4D87-B789-E04EE775C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66288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40</xdr:col>
      <xdr:colOff>213360</xdr:colOff>
      <xdr:row>0</xdr:row>
      <xdr:rowOff>0</xdr:rowOff>
    </xdr:from>
    <xdr:to>
      <xdr:col>46</xdr:col>
      <xdr:colOff>373380</xdr:colOff>
      <xdr:row>4</xdr:row>
      <xdr:rowOff>33020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D15B1415-0B59-4EB1-8630-9D0BB897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1256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533400</xdr:colOff>
      <xdr:row>17</xdr:row>
      <xdr:rowOff>171450</xdr:rowOff>
    </xdr:from>
    <xdr:to>
      <xdr:col>13</xdr:col>
      <xdr:colOff>350520</xdr:colOff>
      <xdr:row>32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81E524-746E-966D-3200-2FCDC8684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631070</xdr:colOff>
      <xdr:row>4</xdr:row>
      <xdr:rowOff>10679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6F23C1-46C9-49CF-A4FC-C2F29FC9C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70910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460110</xdr:colOff>
      <xdr:row>0</xdr:row>
      <xdr:rowOff>0</xdr:rowOff>
    </xdr:from>
    <xdr:to>
      <xdr:col>39</xdr:col>
      <xdr:colOff>751143</xdr:colOff>
      <xdr:row>4</xdr:row>
      <xdr:rowOff>10679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4902EE-40B9-4333-8C51-334BDC0C9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9950" y="0"/>
          <a:ext cx="24857913" cy="742199"/>
        </a:xfrm>
        <a:prstGeom prst="rect">
          <a:avLst/>
        </a:prstGeom>
      </xdr:spPr>
    </xdr:pic>
    <xdr:clientData/>
  </xdr:twoCellAnchor>
  <xdr:twoCellAnchor editAs="oneCell">
    <xdr:from>
      <xdr:col>8</xdr:col>
      <xdr:colOff>347980</xdr:colOff>
      <xdr:row>0</xdr:row>
      <xdr:rowOff>0</xdr:rowOff>
    </xdr:from>
    <xdr:to>
      <xdr:col>14</xdr:col>
      <xdr:colOff>479199</xdr:colOff>
      <xdr:row>4</xdr:row>
      <xdr:rowOff>12700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917032-9518-4C19-ABDA-87C389FC0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7820" y="0"/>
          <a:ext cx="4886099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767080</xdr:colOff>
      <xdr:row>0</xdr:row>
      <xdr:rowOff>0</xdr:rowOff>
    </xdr:from>
    <xdr:to>
      <xdr:col>16</xdr:col>
      <xdr:colOff>194413</xdr:colOff>
      <xdr:row>4</xdr:row>
      <xdr:rowOff>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E595525-4CBE-4F12-A4EB-AF3BF8B21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61800" y="0"/>
          <a:ext cx="1012293" cy="731544"/>
        </a:xfrm>
        <a:prstGeom prst="rect">
          <a:avLst/>
        </a:prstGeom>
      </xdr:spPr>
    </xdr:pic>
    <xdr:clientData/>
  </xdr:twoCellAnchor>
  <xdr:twoCellAnchor editAs="oneCell">
    <xdr:from>
      <xdr:col>16</xdr:col>
      <xdr:colOff>375920</xdr:colOff>
      <xdr:row>0</xdr:row>
      <xdr:rowOff>0</xdr:rowOff>
    </xdr:from>
    <xdr:to>
      <xdr:col>22</xdr:col>
      <xdr:colOff>507908</xdr:colOff>
      <xdr:row>4</xdr:row>
      <xdr:rowOff>12700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4F902E0-6A92-4DDE-A6CB-7A3E16ADF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5600" y="0"/>
          <a:ext cx="4886868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680720</xdr:colOff>
      <xdr:row>0</xdr:row>
      <xdr:rowOff>0</xdr:rowOff>
    </xdr:from>
    <xdr:to>
      <xdr:col>24</xdr:col>
      <xdr:colOff>106419</xdr:colOff>
      <xdr:row>4</xdr:row>
      <xdr:rowOff>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89F9A38-228C-4942-8857-4C90DD7E9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15280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24</xdr:col>
      <xdr:colOff>294640</xdr:colOff>
      <xdr:row>0</xdr:row>
      <xdr:rowOff>0</xdr:rowOff>
    </xdr:from>
    <xdr:to>
      <xdr:col>30</xdr:col>
      <xdr:colOff>417876</xdr:colOff>
      <xdr:row>4</xdr:row>
      <xdr:rowOff>12700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12C1F0E-DF0A-4AFD-98EB-5818793C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14160" y="0"/>
          <a:ext cx="4878116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434572</xdr:colOff>
      <xdr:row>0</xdr:row>
      <xdr:rowOff>0</xdr:rowOff>
    </xdr:from>
    <xdr:to>
      <xdr:col>31</xdr:col>
      <xdr:colOff>652751</xdr:colOff>
      <xdr:row>4</xdr:row>
      <xdr:rowOff>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BCA7CF0-FE35-41BC-9409-61E17D906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208972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31</xdr:col>
      <xdr:colOff>741680</xdr:colOff>
      <xdr:row>0</xdr:row>
      <xdr:rowOff>0</xdr:rowOff>
    </xdr:from>
    <xdr:to>
      <xdr:col>38</xdr:col>
      <xdr:colOff>78740</xdr:colOff>
      <xdr:row>4</xdr:row>
      <xdr:rowOff>12700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4413866-1DC0-4CDE-9E2A-60A6F1743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08560" y="0"/>
          <a:ext cx="4884420" cy="74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182881</xdr:colOff>
      <xdr:row>0</xdr:row>
      <xdr:rowOff>0</xdr:rowOff>
    </xdr:from>
    <xdr:to>
      <xdr:col>39</xdr:col>
      <xdr:colOff>401060</xdr:colOff>
      <xdr:row>4</xdr:row>
      <xdr:rowOff>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1521F64-900C-4572-A51A-69B068215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297121" y="0"/>
          <a:ext cx="1010659" cy="731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31120</xdr:rowOff>
    </xdr:from>
    <xdr:to>
      <xdr:col>17</xdr:col>
      <xdr:colOff>499534</xdr:colOff>
      <xdr:row>35</xdr:row>
      <xdr:rowOff>3806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CEB4295-23FF-424C-937B-9387A81EC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066160"/>
          <a:ext cx="13971694" cy="338446"/>
        </a:xfrm>
        <a:prstGeom prst="rect">
          <a:avLst/>
        </a:prstGeom>
      </xdr:spPr>
    </xdr:pic>
    <xdr:clientData/>
  </xdr:twoCellAnchor>
  <xdr:twoCellAnchor editAs="oneCell">
    <xdr:from>
      <xdr:col>39</xdr:col>
      <xdr:colOff>545916</xdr:colOff>
      <xdr:row>0</xdr:row>
      <xdr:rowOff>3</xdr:rowOff>
    </xdr:from>
    <xdr:to>
      <xdr:col>40</xdr:col>
      <xdr:colOff>94161</xdr:colOff>
      <xdr:row>90</xdr:row>
      <xdr:rowOff>110067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F8E710C-39D5-4BA6-8AB0-7E94E318A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23338367" y="8114272"/>
          <a:ext cx="16569264" cy="340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167141</xdr:rowOff>
    </xdr:from>
    <xdr:to>
      <xdr:col>3</xdr:col>
      <xdr:colOff>358140</xdr:colOff>
      <xdr:row>22</xdr:row>
      <xdr:rowOff>114558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B72C47A-DF29-4D0D-BEBE-4309CA97C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4421"/>
          <a:ext cx="2735580" cy="2873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156450</xdr:colOff>
      <xdr:row>33</xdr:row>
      <xdr:rowOff>121920</xdr:rowOff>
    </xdr:from>
    <xdr:to>
      <xdr:col>17</xdr:col>
      <xdr:colOff>500562</xdr:colOff>
      <xdr:row>90</xdr:row>
      <xdr:rowOff>118536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D14E7A1-710E-45A2-A801-B0B7C9790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8590278" y="11195292"/>
          <a:ext cx="10420776" cy="344112"/>
        </a:xfrm>
        <a:prstGeom prst="rect">
          <a:avLst/>
        </a:prstGeom>
      </xdr:spPr>
    </xdr:pic>
    <xdr:clientData/>
  </xdr:twoCellAnchor>
  <xdr:twoCellAnchor editAs="oneCell">
    <xdr:from>
      <xdr:col>17</xdr:col>
      <xdr:colOff>167637</xdr:colOff>
      <xdr:row>89</xdr:row>
      <xdr:rowOff>149682</xdr:rowOff>
    </xdr:from>
    <xdr:to>
      <xdr:col>40</xdr:col>
      <xdr:colOff>92364</xdr:colOff>
      <xdr:row>91</xdr:row>
      <xdr:rowOff>121261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613F2B9-AD76-462D-B49A-7F1178025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13639797" y="16426002"/>
          <a:ext cx="18151767" cy="337339"/>
        </a:xfrm>
        <a:prstGeom prst="rect">
          <a:avLst/>
        </a:prstGeom>
      </xdr:spPr>
    </xdr:pic>
    <xdr:clientData/>
  </xdr:twoCellAnchor>
  <xdr:twoCellAnchor>
    <xdr:from>
      <xdr:col>18</xdr:col>
      <xdr:colOff>723900</xdr:colOff>
      <xdr:row>8</xdr:row>
      <xdr:rowOff>99060</xdr:rowOff>
    </xdr:from>
    <xdr:to>
      <xdr:col>28</xdr:col>
      <xdr:colOff>68580</xdr:colOff>
      <xdr:row>85</xdr:row>
      <xdr:rowOff>60960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A38D84F-B1AE-4FFB-A76B-4DB46C2E153C}"/>
            </a:ext>
          </a:extLst>
        </xdr:cNvPr>
        <xdr:cNvSpPr/>
      </xdr:nvSpPr>
      <xdr:spPr>
        <a:xfrm>
          <a:off x="14988540" y="1562100"/>
          <a:ext cx="7269480" cy="1404366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28</xdr:col>
      <xdr:colOff>716280</xdr:colOff>
      <xdr:row>8</xdr:row>
      <xdr:rowOff>114300</xdr:rowOff>
    </xdr:from>
    <xdr:to>
      <xdr:col>33</xdr:col>
      <xdr:colOff>68580</xdr:colOff>
      <xdr:row>17</xdr:row>
      <xdr:rowOff>68580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BF4C4F14-BA4D-4653-879D-522D80084620}"/>
            </a:ext>
          </a:extLst>
        </xdr:cNvPr>
        <xdr:cNvSpPr/>
      </xdr:nvSpPr>
      <xdr:spPr>
        <a:xfrm>
          <a:off x="22905720" y="1577340"/>
          <a:ext cx="3314700" cy="16002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327660</xdr:colOff>
      <xdr:row>17</xdr:row>
      <xdr:rowOff>179070</xdr:rowOff>
    </xdr:from>
    <xdr:to>
      <xdr:col>13</xdr:col>
      <xdr:colOff>144780</xdr:colOff>
      <xdr:row>32</xdr:row>
      <xdr:rowOff>179070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A7D0265-4FFD-FCB0-DB84-C92A9B9F0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526930</xdr:colOff>
      <xdr:row>4</xdr:row>
      <xdr:rowOff>30999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42EEAC-2103-4DD6-BFCB-B07F32247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88690" cy="762519"/>
        </a:xfrm>
        <a:prstGeom prst="rect">
          <a:avLst/>
        </a:prstGeom>
      </xdr:spPr>
    </xdr:pic>
    <xdr:clientData/>
  </xdr:twoCellAnchor>
  <xdr:twoCellAnchor editAs="oneCell">
    <xdr:from>
      <xdr:col>8</xdr:col>
      <xdr:colOff>525780</xdr:colOff>
      <xdr:row>0</xdr:row>
      <xdr:rowOff>0</xdr:rowOff>
    </xdr:from>
    <xdr:to>
      <xdr:col>99</xdr:col>
      <xdr:colOff>762000</xdr:colOff>
      <xdr:row>4</xdr:row>
      <xdr:rowOff>30999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41CEFF-94D0-4F3B-B411-5384D8BE1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7540" y="0"/>
          <a:ext cx="72420480" cy="7625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25688</xdr:rowOff>
    </xdr:from>
    <xdr:to>
      <xdr:col>3</xdr:col>
      <xdr:colOff>365760</xdr:colOff>
      <xdr:row>23</xdr:row>
      <xdr:rowOff>49305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B24293D-4926-452E-82CB-8306B05C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5848"/>
          <a:ext cx="2743200" cy="2949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541020</xdr:colOff>
      <xdr:row>0</xdr:row>
      <xdr:rowOff>0</xdr:rowOff>
    </xdr:from>
    <xdr:to>
      <xdr:col>14</xdr:col>
      <xdr:colOff>632460</xdr:colOff>
      <xdr:row>4</xdr:row>
      <xdr:rowOff>33020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9B157E-4A4A-492F-84CD-116D0CDCA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086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739140</xdr:colOff>
      <xdr:row>0</xdr:row>
      <xdr:rowOff>0</xdr:rowOff>
    </xdr:from>
    <xdr:to>
      <xdr:col>16</xdr:col>
      <xdr:colOff>169919</xdr:colOff>
      <xdr:row>4</xdr:row>
      <xdr:rowOff>20344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7ADCAE2-866B-43FB-9B9E-2ED23F5D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3386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16</xdr:col>
      <xdr:colOff>533400</xdr:colOff>
      <xdr:row>0</xdr:row>
      <xdr:rowOff>0</xdr:rowOff>
    </xdr:from>
    <xdr:to>
      <xdr:col>22</xdr:col>
      <xdr:colOff>693420</xdr:colOff>
      <xdr:row>4</xdr:row>
      <xdr:rowOff>33020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4C1670-FD5F-4DF2-93BE-4C5C68A5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08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723900</xdr:colOff>
      <xdr:row>0</xdr:row>
      <xdr:rowOff>0</xdr:rowOff>
    </xdr:from>
    <xdr:to>
      <xdr:col>24</xdr:col>
      <xdr:colOff>154679</xdr:colOff>
      <xdr:row>4</xdr:row>
      <xdr:rowOff>20344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FF7F2EC-6323-402E-A305-920538623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5846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24</xdr:col>
      <xdr:colOff>518160</xdr:colOff>
      <xdr:row>0</xdr:row>
      <xdr:rowOff>0</xdr:rowOff>
    </xdr:from>
    <xdr:to>
      <xdr:col>30</xdr:col>
      <xdr:colOff>678180</xdr:colOff>
      <xdr:row>4</xdr:row>
      <xdr:rowOff>33020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2F1DFDC-31A3-451B-B98D-9CA190BF9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768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693420</xdr:colOff>
      <xdr:row>0</xdr:row>
      <xdr:rowOff>0</xdr:rowOff>
    </xdr:from>
    <xdr:to>
      <xdr:col>32</xdr:col>
      <xdr:colOff>124199</xdr:colOff>
      <xdr:row>4</xdr:row>
      <xdr:rowOff>20344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1200FE3-9737-4DFE-BFD0-AD1B38A5F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6782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32</xdr:col>
      <xdr:colOff>487680</xdr:colOff>
      <xdr:row>0</xdr:row>
      <xdr:rowOff>0</xdr:rowOff>
    </xdr:from>
    <xdr:to>
      <xdr:col>38</xdr:col>
      <xdr:colOff>647700</xdr:colOff>
      <xdr:row>4</xdr:row>
      <xdr:rowOff>33020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0D0782D-DC37-40EA-BAE0-4B179D5F8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4704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769620</xdr:colOff>
      <xdr:row>0</xdr:row>
      <xdr:rowOff>0</xdr:rowOff>
    </xdr:from>
    <xdr:to>
      <xdr:col>40</xdr:col>
      <xdr:colOff>200399</xdr:colOff>
      <xdr:row>4</xdr:row>
      <xdr:rowOff>20344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03385A4-12BF-4418-A9AD-7F52716EF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88386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40</xdr:col>
      <xdr:colOff>563880</xdr:colOff>
      <xdr:row>0</xdr:row>
      <xdr:rowOff>0</xdr:rowOff>
    </xdr:from>
    <xdr:to>
      <xdr:col>46</xdr:col>
      <xdr:colOff>723900</xdr:colOff>
      <xdr:row>4</xdr:row>
      <xdr:rowOff>33020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CEB78F7-8CE5-4D37-B677-93D5814E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6308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523238</xdr:colOff>
      <xdr:row>0</xdr:row>
      <xdr:rowOff>0</xdr:rowOff>
    </xdr:from>
    <xdr:to>
      <xdr:col>102</xdr:col>
      <xdr:colOff>71483</xdr:colOff>
      <xdr:row>155</xdr:row>
      <xdr:rowOff>99701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393A4AF-3C8C-4C25-A754-5DEF960B7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66701530" y="14052688"/>
          <a:ext cx="28446101" cy="340725"/>
        </a:xfrm>
        <a:prstGeom prst="rect">
          <a:avLst/>
        </a:prstGeom>
      </xdr:spPr>
    </xdr:pic>
    <xdr:clientData/>
  </xdr:twoCellAnchor>
  <xdr:twoCellAnchor>
    <xdr:from>
      <xdr:col>13</xdr:col>
      <xdr:colOff>396240</xdr:colOff>
      <xdr:row>18</xdr:row>
      <xdr:rowOff>95250</xdr:rowOff>
    </xdr:from>
    <xdr:to>
      <xdr:col>19</xdr:col>
      <xdr:colOff>213360</xdr:colOff>
      <xdr:row>33</xdr:row>
      <xdr:rowOff>95250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897F5BF-E7A5-4A2A-A011-EB0951409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723900</xdr:colOff>
      <xdr:row>35</xdr:row>
      <xdr:rowOff>99060</xdr:rowOff>
    </xdr:from>
    <xdr:to>
      <xdr:col>20</xdr:col>
      <xdr:colOff>76200</xdr:colOff>
      <xdr:row>112</xdr:row>
      <xdr:rowOff>60960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3C8158E9-B068-40B1-A8AD-5E492A1EB3D2}"/>
            </a:ext>
          </a:extLst>
        </xdr:cNvPr>
        <xdr:cNvSpPr/>
      </xdr:nvSpPr>
      <xdr:spPr>
        <a:xfrm>
          <a:off x="8839200" y="6499860"/>
          <a:ext cx="7277100" cy="1404366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716280</xdr:colOff>
      <xdr:row>116</xdr:row>
      <xdr:rowOff>114300</xdr:rowOff>
    </xdr:from>
    <xdr:to>
      <xdr:col>15</xdr:col>
      <xdr:colOff>68580</xdr:colOff>
      <xdr:row>125</xdr:row>
      <xdr:rowOff>68580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FD6F4C7C-4AC3-4DDB-A9E9-E7599520BDCE}"/>
            </a:ext>
          </a:extLst>
        </xdr:cNvPr>
        <xdr:cNvSpPr/>
      </xdr:nvSpPr>
      <xdr:spPr>
        <a:xfrm>
          <a:off x="22905720" y="1577340"/>
          <a:ext cx="3314700" cy="16002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32</xdr:col>
      <xdr:colOff>396240</xdr:colOff>
      <xdr:row>18</xdr:row>
      <xdr:rowOff>95250</xdr:rowOff>
    </xdr:from>
    <xdr:to>
      <xdr:col>38</xdr:col>
      <xdr:colOff>213360</xdr:colOff>
      <xdr:row>33</xdr:row>
      <xdr:rowOff>95250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DFD9A32-BB53-4FA2-BFF7-E4F876DB5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723900</xdr:colOff>
      <xdr:row>35</xdr:row>
      <xdr:rowOff>99060</xdr:rowOff>
    </xdr:from>
    <xdr:to>
      <xdr:col>39</xdr:col>
      <xdr:colOff>76200</xdr:colOff>
      <xdr:row>112</xdr:row>
      <xdr:rowOff>60960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1AE11049-A76E-466E-A875-B0091B0BB0F1}"/>
            </a:ext>
          </a:extLst>
        </xdr:cNvPr>
        <xdr:cNvSpPr/>
      </xdr:nvSpPr>
      <xdr:spPr>
        <a:xfrm>
          <a:off x="23896320" y="6499860"/>
          <a:ext cx="7277100" cy="1404366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716280</xdr:colOff>
      <xdr:row>116</xdr:row>
      <xdr:rowOff>114300</xdr:rowOff>
    </xdr:from>
    <xdr:to>
      <xdr:col>34</xdr:col>
      <xdr:colOff>68580</xdr:colOff>
      <xdr:row>125</xdr:row>
      <xdr:rowOff>68580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18B8B8CC-3AB6-45FC-8EBE-E83D3D7D4074}"/>
            </a:ext>
          </a:extLst>
        </xdr:cNvPr>
        <xdr:cNvSpPr/>
      </xdr:nvSpPr>
      <xdr:spPr>
        <a:xfrm>
          <a:off x="8831580" y="21328380"/>
          <a:ext cx="3314700" cy="16002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29</xdr:col>
      <xdr:colOff>716280</xdr:colOff>
      <xdr:row>116</xdr:row>
      <xdr:rowOff>114300</xdr:rowOff>
    </xdr:from>
    <xdr:to>
      <xdr:col>34</xdr:col>
      <xdr:colOff>68580</xdr:colOff>
      <xdr:row>125</xdr:row>
      <xdr:rowOff>68580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5769B7E9-4C2C-4E07-955B-F33E277526C0}"/>
            </a:ext>
          </a:extLst>
        </xdr:cNvPr>
        <xdr:cNvSpPr/>
      </xdr:nvSpPr>
      <xdr:spPr>
        <a:xfrm>
          <a:off x="8839200" y="21328380"/>
          <a:ext cx="3314700" cy="160020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51</xdr:col>
      <xdr:colOff>396240</xdr:colOff>
      <xdr:row>18</xdr:row>
      <xdr:rowOff>95250</xdr:rowOff>
    </xdr:from>
    <xdr:to>
      <xdr:col>57</xdr:col>
      <xdr:colOff>213360</xdr:colOff>
      <xdr:row>33</xdr:row>
      <xdr:rowOff>95250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D20BE7CC-0573-425E-8E14-4FBDA4A4E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723900</xdr:colOff>
      <xdr:row>35</xdr:row>
      <xdr:rowOff>99060</xdr:rowOff>
    </xdr:from>
    <xdr:to>
      <xdr:col>58</xdr:col>
      <xdr:colOff>76200</xdr:colOff>
      <xdr:row>112</xdr:row>
      <xdr:rowOff>60960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57B838C7-C869-4A07-B8C2-5C1FCAC2D212}"/>
            </a:ext>
          </a:extLst>
        </xdr:cNvPr>
        <xdr:cNvSpPr/>
      </xdr:nvSpPr>
      <xdr:spPr>
        <a:xfrm>
          <a:off x="38953440" y="6499860"/>
          <a:ext cx="7277100" cy="1404366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48</xdr:col>
      <xdr:colOff>716280</xdr:colOff>
      <xdr:row>116</xdr:row>
      <xdr:rowOff>114300</xdr:rowOff>
    </xdr:from>
    <xdr:to>
      <xdr:col>53</xdr:col>
      <xdr:colOff>68580</xdr:colOff>
      <xdr:row>125</xdr:row>
      <xdr:rowOff>68580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6895D392-7907-4967-BA01-978AAFFFC687}"/>
            </a:ext>
          </a:extLst>
        </xdr:cNvPr>
        <xdr:cNvSpPr/>
      </xdr:nvSpPr>
      <xdr:spPr>
        <a:xfrm>
          <a:off x="24090630" y="22212300"/>
          <a:ext cx="3352800" cy="166878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48</xdr:col>
      <xdr:colOff>716280</xdr:colOff>
      <xdr:row>116</xdr:row>
      <xdr:rowOff>114300</xdr:rowOff>
    </xdr:from>
    <xdr:to>
      <xdr:col>53</xdr:col>
      <xdr:colOff>68580</xdr:colOff>
      <xdr:row>125</xdr:row>
      <xdr:rowOff>68580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755E0734-4605-4273-AEEB-1E048632EEC8}"/>
            </a:ext>
          </a:extLst>
        </xdr:cNvPr>
        <xdr:cNvSpPr/>
      </xdr:nvSpPr>
      <xdr:spPr>
        <a:xfrm>
          <a:off x="24090630" y="22212300"/>
          <a:ext cx="3352800" cy="166878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72</xdr:col>
      <xdr:colOff>708660</xdr:colOff>
      <xdr:row>15</xdr:row>
      <xdr:rowOff>140970</xdr:rowOff>
    </xdr:from>
    <xdr:to>
      <xdr:col>78</xdr:col>
      <xdr:colOff>525780</xdr:colOff>
      <xdr:row>30</xdr:row>
      <xdr:rowOff>140970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7DD598D-4F2E-4CD1-9EAF-8F53901EB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69</xdr:col>
      <xdr:colOff>723900</xdr:colOff>
      <xdr:row>35</xdr:row>
      <xdr:rowOff>99060</xdr:rowOff>
    </xdr:from>
    <xdr:to>
      <xdr:col>79</xdr:col>
      <xdr:colOff>76200</xdr:colOff>
      <xdr:row>112</xdr:row>
      <xdr:rowOff>60960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484DD71D-0A6E-4AB8-8C74-D88B1CA76D0E}"/>
            </a:ext>
          </a:extLst>
        </xdr:cNvPr>
        <xdr:cNvSpPr/>
      </xdr:nvSpPr>
      <xdr:spPr>
        <a:xfrm>
          <a:off x="55595520" y="6499860"/>
          <a:ext cx="7277100" cy="1404366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69</xdr:col>
      <xdr:colOff>716280</xdr:colOff>
      <xdr:row>116</xdr:row>
      <xdr:rowOff>114300</xdr:rowOff>
    </xdr:from>
    <xdr:to>
      <xdr:col>74</xdr:col>
      <xdr:colOff>68580</xdr:colOff>
      <xdr:row>125</xdr:row>
      <xdr:rowOff>68580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35F5D74D-81AC-4039-8B56-7006540E3DF0}"/>
            </a:ext>
          </a:extLst>
        </xdr:cNvPr>
        <xdr:cNvSpPr/>
      </xdr:nvSpPr>
      <xdr:spPr>
        <a:xfrm>
          <a:off x="38714680" y="20739100"/>
          <a:ext cx="3289300" cy="155448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69</xdr:col>
      <xdr:colOff>716280</xdr:colOff>
      <xdr:row>116</xdr:row>
      <xdr:rowOff>114300</xdr:rowOff>
    </xdr:from>
    <xdr:to>
      <xdr:col>74</xdr:col>
      <xdr:colOff>68580</xdr:colOff>
      <xdr:row>125</xdr:row>
      <xdr:rowOff>68580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45E1EB9C-141C-401D-A80B-97AE29ED2888}"/>
            </a:ext>
          </a:extLst>
        </xdr:cNvPr>
        <xdr:cNvSpPr/>
      </xdr:nvSpPr>
      <xdr:spPr>
        <a:xfrm>
          <a:off x="38714680" y="20739100"/>
          <a:ext cx="3289300" cy="155448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84</xdr:col>
      <xdr:colOff>396240</xdr:colOff>
      <xdr:row>18</xdr:row>
      <xdr:rowOff>95250</xdr:rowOff>
    </xdr:from>
    <xdr:to>
      <xdr:col>90</xdr:col>
      <xdr:colOff>213360</xdr:colOff>
      <xdr:row>33</xdr:row>
      <xdr:rowOff>95250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467268EE-D4CD-4EAE-A271-C3B08B4F1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81</xdr:col>
      <xdr:colOff>723900</xdr:colOff>
      <xdr:row>35</xdr:row>
      <xdr:rowOff>99060</xdr:rowOff>
    </xdr:from>
    <xdr:to>
      <xdr:col>91</xdr:col>
      <xdr:colOff>68580</xdr:colOff>
      <xdr:row>112</xdr:row>
      <xdr:rowOff>60960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C5FF7992-4113-45E4-9F8D-C56F6F4F5B79}"/>
            </a:ext>
          </a:extLst>
        </xdr:cNvPr>
        <xdr:cNvSpPr/>
      </xdr:nvSpPr>
      <xdr:spPr>
        <a:xfrm>
          <a:off x="65105280" y="6499860"/>
          <a:ext cx="7269480" cy="1404366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81</xdr:col>
      <xdr:colOff>716280</xdr:colOff>
      <xdr:row>116</xdr:row>
      <xdr:rowOff>114300</xdr:rowOff>
    </xdr:from>
    <xdr:to>
      <xdr:col>86</xdr:col>
      <xdr:colOff>68580</xdr:colOff>
      <xdr:row>125</xdr:row>
      <xdr:rowOff>68580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58E03439-2362-4CA7-AA2B-4054E5CBB23C}"/>
            </a:ext>
          </a:extLst>
        </xdr:cNvPr>
        <xdr:cNvSpPr/>
      </xdr:nvSpPr>
      <xdr:spPr>
        <a:xfrm>
          <a:off x="38714680" y="20739100"/>
          <a:ext cx="3289300" cy="155448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81</xdr:col>
      <xdr:colOff>716280</xdr:colOff>
      <xdr:row>116</xdr:row>
      <xdr:rowOff>114300</xdr:rowOff>
    </xdr:from>
    <xdr:to>
      <xdr:col>86</xdr:col>
      <xdr:colOff>68580</xdr:colOff>
      <xdr:row>125</xdr:row>
      <xdr:rowOff>68580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2FF79F8E-55B9-463B-B2B4-AA05D7A54D47}"/>
            </a:ext>
          </a:extLst>
        </xdr:cNvPr>
        <xdr:cNvSpPr/>
      </xdr:nvSpPr>
      <xdr:spPr>
        <a:xfrm>
          <a:off x="38714680" y="20739100"/>
          <a:ext cx="3289300" cy="1554480"/>
        </a:xfrm>
        <a:prstGeom prst="rect">
          <a:avLst/>
        </a:prstGeom>
        <a:noFill/>
        <a:ln w="158750">
          <a:solidFill>
            <a:srgbClr val="223B82"/>
          </a:solidFill>
          <a:round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47</xdr:col>
      <xdr:colOff>281940</xdr:colOff>
      <xdr:row>0</xdr:row>
      <xdr:rowOff>0</xdr:rowOff>
    </xdr:from>
    <xdr:to>
      <xdr:col>48</xdr:col>
      <xdr:colOff>505199</xdr:colOff>
      <xdr:row>4</xdr:row>
      <xdr:rowOff>20344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9863E1E-7768-4DA5-A817-C64A78063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71900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49</xdr:col>
      <xdr:colOff>76200</xdr:colOff>
      <xdr:row>0</xdr:row>
      <xdr:rowOff>0</xdr:rowOff>
    </xdr:from>
    <xdr:to>
      <xdr:col>55</xdr:col>
      <xdr:colOff>236220</xdr:colOff>
      <xdr:row>4</xdr:row>
      <xdr:rowOff>33020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8BD29446-9F4C-4A10-B296-3DF7F6CD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9822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617220</xdr:colOff>
      <xdr:row>0</xdr:row>
      <xdr:rowOff>0</xdr:rowOff>
    </xdr:from>
    <xdr:to>
      <xdr:col>57</xdr:col>
      <xdr:colOff>47999</xdr:colOff>
      <xdr:row>4</xdr:row>
      <xdr:rowOff>20344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9E73EAD-EB26-42F3-B7A2-9C64294EE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39412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57</xdr:col>
      <xdr:colOff>411480</xdr:colOff>
      <xdr:row>0</xdr:row>
      <xdr:rowOff>0</xdr:rowOff>
    </xdr:from>
    <xdr:to>
      <xdr:col>63</xdr:col>
      <xdr:colOff>571500</xdr:colOff>
      <xdr:row>4</xdr:row>
      <xdr:rowOff>33020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40AC887-5FAA-49F3-B743-0634B8EDA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7334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114300</xdr:colOff>
      <xdr:row>0</xdr:row>
      <xdr:rowOff>0</xdr:rowOff>
    </xdr:from>
    <xdr:to>
      <xdr:col>65</xdr:col>
      <xdr:colOff>337559</xdr:colOff>
      <xdr:row>4</xdr:row>
      <xdr:rowOff>20344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6A9F6FAD-2C3A-4F50-87DB-2A35FAC0E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02352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65</xdr:col>
      <xdr:colOff>701040</xdr:colOff>
      <xdr:row>0</xdr:row>
      <xdr:rowOff>0</xdr:rowOff>
    </xdr:from>
    <xdr:to>
      <xdr:col>72</xdr:col>
      <xdr:colOff>68580</xdr:colOff>
      <xdr:row>4</xdr:row>
      <xdr:rowOff>33020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97A7B8D4-4FA2-46CF-BD5F-D8FB3466F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0274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480060</xdr:colOff>
      <xdr:row>0</xdr:row>
      <xdr:rowOff>0</xdr:rowOff>
    </xdr:from>
    <xdr:to>
      <xdr:col>73</xdr:col>
      <xdr:colOff>703319</xdr:colOff>
      <xdr:row>4</xdr:row>
      <xdr:rowOff>20344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FB06FDC4-7CFD-4113-9CB4-83032D143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72912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74</xdr:col>
      <xdr:colOff>274320</xdr:colOff>
      <xdr:row>0</xdr:row>
      <xdr:rowOff>0</xdr:rowOff>
    </xdr:from>
    <xdr:to>
      <xdr:col>80</xdr:col>
      <xdr:colOff>434340</xdr:colOff>
      <xdr:row>4</xdr:row>
      <xdr:rowOff>33020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A851810F-57AD-4E78-87AB-ECF5E3E91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0834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0</xdr:row>
      <xdr:rowOff>0</xdr:rowOff>
    </xdr:from>
    <xdr:to>
      <xdr:col>82</xdr:col>
      <xdr:colOff>223259</xdr:colOff>
      <xdr:row>4</xdr:row>
      <xdr:rowOff>20344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F025D7C4-8003-41DA-BBBB-C4BE764F2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38138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82</xdr:col>
      <xdr:colOff>586740</xdr:colOff>
      <xdr:row>0</xdr:row>
      <xdr:rowOff>0</xdr:rowOff>
    </xdr:from>
    <xdr:to>
      <xdr:col>88</xdr:col>
      <xdr:colOff>746760</xdr:colOff>
      <xdr:row>4</xdr:row>
      <xdr:rowOff>33020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D12B5EA-50FC-4441-BD1D-C5C82098D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6060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327660</xdr:colOff>
      <xdr:row>0</xdr:row>
      <xdr:rowOff>0</xdr:rowOff>
    </xdr:from>
    <xdr:to>
      <xdr:col>90</xdr:col>
      <xdr:colOff>550919</xdr:colOff>
      <xdr:row>4</xdr:row>
      <xdr:rowOff>20344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951C37EE-FF57-4FDB-A281-516B7B371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04888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91</xdr:col>
      <xdr:colOff>121920</xdr:colOff>
      <xdr:row>0</xdr:row>
      <xdr:rowOff>0</xdr:rowOff>
    </xdr:from>
    <xdr:to>
      <xdr:col>97</xdr:col>
      <xdr:colOff>281940</xdr:colOff>
      <xdr:row>4</xdr:row>
      <xdr:rowOff>33020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9ACB043D-FDAC-4A71-A823-98DC2B0B9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28100" y="0"/>
          <a:ext cx="4914900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739140</xdr:colOff>
      <xdr:row>0</xdr:row>
      <xdr:rowOff>0</xdr:rowOff>
    </xdr:from>
    <xdr:to>
      <xdr:col>99</xdr:col>
      <xdr:colOff>169919</xdr:colOff>
      <xdr:row>4</xdr:row>
      <xdr:rowOff>20344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7958778D-FCC0-41B6-9D3D-827C0F4F1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800200" y="0"/>
          <a:ext cx="1015739" cy="7518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4356</xdr:rowOff>
    </xdr:from>
    <xdr:to>
      <xdr:col>100</xdr:col>
      <xdr:colOff>213643</xdr:colOff>
      <xdr:row>155</xdr:row>
      <xdr:rowOff>159091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CD014152-568E-46E4-80CB-808CAAB1B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0" y="28518823"/>
          <a:ext cx="79454522" cy="339894"/>
        </a:xfrm>
        <a:prstGeom prst="rect">
          <a:avLst/>
        </a:prstGeom>
      </xdr:spPr>
    </xdr:pic>
    <xdr:clientData/>
  </xdr:twoCellAnchor>
  <xdr:twoCellAnchor>
    <xdr:from>
      <xdr:col>94</xdr:col>
      <xdr:colOff>76200</xdr:colOff>
      <xdr:row>16</xdr:row>
      <xdr:rowOff>152400</xdr:rowOff>
    </xdr:from>
    <xdr:to>
      <xdr:col>99</xdr:col>
      <xdr:colOff>685800</xdr:colOff>
      <xdr:row>31</xdr:row>
      <xdr:rowOff>152400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4DB1975C-7E57-49B7-B507-2A8918706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2B97E5-E7D2-429B-845F-DF879DF5A9EF}" name="Tabla17" displayName="Tabla17" ref="C21:H45" headerRowCount="0" totalsRowShown="0" headerRowDxfId="458" dataDxfId="457">
  <tableColumns count="6">
    <tableColumn id="1" xr3:uid="{9903DFBA-F8B3-4D4F-9418-1355564E46FB}" name="Columna1" headerRowDxfId="456" dataDxfId="455"/>
    <tableColumn id="2" xr3:uid="{70CF4A3E-55B1-4FD1-A09C-767446BB228B}" name="Columna2" headerRowDxfId="454" dataDxfId="453"/>
    <tableColumn id="3" xr3:uid="{E5A249F1-49DB-4DA2-AD95-6731906B6820}" name="Columna3" headerRowDxfId="452" dataDxfId="451"/>
    <tableColumn id="4" xr3:uid="{8E662B16-740B-48E2-A5B9-7D259060206B}" name="Columna4" headerRowDxfId="450" dataDxfId="449"/>
    <tableColumn id="5" xr3:uid="{F7A30AAF-5989-491E-8A9B-DF82A288E71D}" name="Columna5" headerRowDxfId="448" dataDxfId="447"/>
    <tableColumn id="6" xr3:uid="{15BAAF3A-3F42-4120-B8B1-5F683ACD4502}" name="Columna6" headerRowDxfId="446" dataDxfId="445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59AA121-1898-4559-904D-1B5AE0CE1E19}" name="Tabla18" displayName="Tabla18" ref="C53:H61" headerRowCount="0" totalsRowShown="0" headerRowDxfId="444" dataDxfId="443">
  <tableColumns count="6">
    <tableColumn id="1" xr3:uid="{251FB5ED-1C6F-41C9-9A3D-EEC569D012D4}" name="Columna1" headerRowDxfId="442" dataDxfId="441"/>
    <tableColumn id="2" xr3:uid="{C24BB58A-D06A-40D1-94C9-B07C7A2324B3}" name="Columna2" headerRowDxfId="440" dataDxfId="439"/>
    <tableColumn id="3" xr3:uid="{1B512FED-CDD4-4F42-BA85-6D33BDD9738D}" name="Columna3" headerRowDxfId="438" dataDxfId="437"/>
    <tableColumn id="4" xr3:uid="{BC209865-4210-4BA0-A6D7-5E2C65DFFD4E}" name="Columna4" headerRowDxfId="436" dataDxfId="435"/>
    <tableColumn id="5" xr3:uid="{C9353024-BAE0-45C7-8C03-FA2A4D2F711C}" name="Columna5" headerRowDxfId="434" dataDxfId="433"/>
    <tableColumn id="6" xr3:uid="{CEAA30D0-5A9A-4D76-8DCD-C5103C8FFF1D}" name="Columna6" headerRowDxfId="432" dataDxfId="431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8AFE436-F141-4439-9B74-7ED730DC4DBC}" name="Tabla19" displayName="Tabla19" ref="C69:H72" headerRowCount="0" totalsRowShown="0" headerRowDxfId="430" dataDxfId="429">
  <tableColumns count="6">
    <tableColumn id="1" xr3:uid="{80637355-EBC7-422D-9695-5EF3975762A8}" name="Columna1" headerRowDxfId="428" dataDxfId="427"/>
    <tableColumn id="2" xr3:uid="{1A7C82DD-CDA4-4441-873C-BC37FC4C1BBB}" name="Columna2" headerRowDxfId="426" dataDxfId="425"/>
    <tableColumn id="3" xr3:uid="{53F95ACD-0473-471A-A458-672D33BDEFD7}" name="Columna3" headerRowDxfId="424" dataDxfId="423"/>
    <tableColumn id="4" xr3:uid="{C609A694-15A2-4FE8-8C24-9E3ADAB316ED}" name="Columna4" headerRowDxfId="422" dataDxfId="421"/>
    <tableColumn id="5" xr3:uid="{71CFDFAF-77E5-48BE-B4EB-92A3B070E237}" name="Columna5" headerRowDxfId="420" dataDxfId="419"/>
    <tableColumn id="6" xr3:uid="{00AFE57F-A836-4B52-9A73-0B830BEBE2F2}" name="Columna6" headerRowDxfId="418" dataDxfId="417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53C9F94-81F0-46E1-AD67-6B4C9D898452}" name="Tabla20" displayName="Tabla20" ref="C80:H89" headerRowCount="0" totalsRowShown="0" headerRowDxfId="416" dataDxfId="415">
  <tableColumns count="6">
    <tableColumn id="1" xr3:uid="{84A82AC7-B468-48F8-BD1D-608199B377A5}" name="Columna1" headerRowDxfId="414" dataDxfId="413"/>
    <tableColumn id="2" xr3:uid="{74DA4840-BE2A-4846-B39D-66422A45261F}" name="Columna2" headerRowDxfId="412" dataDxfId="411"/>
    <tableColumn id="3" xr3:uid="{53963A09-7D80-4BCF-A0BE-380194C3D5A9}" name="Columna3" headerRowDxfId="410" dataDxfId="409"/>
    <tableColumn id="4" xr3:uid="{E0937292-4E9D-4C90-AD7F-CBF5D393D3B0}" name="Columna4" headerRowDxfId="408" dataDxfId="407"/>
    <tableColumn id="5" xr3:uid="{0646708E-EE34-496A-B25D-79457E2C197A}" name="Columna5" headerRowDxfId="406" dataDxfId="405"/>
    <tableColumn id="6" xr3:uid="{9D7F6EB1-0E94-4BF6-A9F4-1E35BFE07C5B}" name="Columna6" headerRowDxfId="404" dataDxfId="403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BAC05CC-24BA-40F8-85CD-3E8E20FF1FFC}" name="Tabla21" displayName="Tabla21" ref="C116:H120" headerRowCount="0" totalsRowShown="0" headerRowDxfId="402" dataDxfId="401">
  <tableColumns count="6">
    <tableColumn id="1" xr3:uid="{E8DCB28E-F83F-4A09-A621-020B3D98EE8D}" name="Columna1" headerRowDxfId="400" dataDxfId="399"/>
    <tableColumn id="2" xr3:uid="{B69E41BB-5803-46CC-A955-4C48077E419D}" name="Columna2" headerRowDxfId="398" dataDxfId="397"/>
    <tableColumn id="3" xr3:uid="{E6F16265-5B96-4059-9E53-94791A8BDDC4}" name="Columna3" headerRowDxfId="396" dataDxfId="395"/>
    <tableColumn id="4" xr3:uid="{99C00CC5-F2BA-44BD-8B13-F17BE25604E7}" name="Columna4" headerRowDxfId="394" dataDxfId="393"/>
    <tableColumn id="5" xr3:uid="{4077185C-0725-44C4-9A14-E9D8543051C7}" name="Columna5" headerRowDxfId="392" dataDxfId="391"/>
    <tableColumn id="6" xr3:uid="{F8108D21-A1ED-4CC3-B607-B16BF657FD3D}" name="Columna6" headerRowDxfId="390" dataDxfId="389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DE0CA2E-C46C-413E-88A9-1E9481DF99C5}" name="Tabla22" displayName="Tabla22" ref="J22:U129" headerRowCount="0" totalsRowShown="0" headerRowDxfId="388" dataDxfId="387">
  <tableColumns count="12">
    <tableColumn id="1" xr3:uid="{CC5AFC62-22E4-433F-B8CD-4DB8B6C448F7}" name="Columna1" headerRowDxfId="386" dataDxfId="385"/>
    <tableColumn id="2" xr3:uid="{FFBEC702-5875-4AE1-9159-3F55A019821E}" name="Columna2" headerRowDxfId="384" dataDxfId="383"/>
    <tableColumn id="3" xr3:uid="{5744B663-77D0-467C-84C2-9FCE254B1E4F}" name="Columna3" headerRowDxfId="382" dataDxfId="381"/>
    <tableColumn id="4" xr3:uid="{93C0919B-7311-4BDD-B168-2D8CDF0E9430}" name="Columna4" headerRowDxfId="380" dataDxfId="379"/>
    <tableColumn id="5" xr3:uid="{86E09844-322D-49DB-9695-6584EDE494B8}" name="Columna5" headerRowDxfId="378" dataDxfId="377"/>
    <tableColumn id="6" xr3:uid="{82F0DC0C-375C-49B4-B404-B87299A8DFB1}" name="Columna6" headerRowDxfId="376" dataDxfId="375"/>
    <tableColumn id="7" xr3:uid="{7105E59C-5AD9-4391-81FF-F46B7C0E6EE7}" name="Columna7" headerRowDxfId="374" dataDxfId="373"/>
    <tableColumn id="8" xr3:uid="{73DA001A-98CA-43D2-B277-319FA9EE432B}" name="Columna8" headerRowDxfId="372" dataDxfId="371"/>
    <tableColumn id="9" xr3:uid="{F9443B33-534B-4203-9F23-167F0C0EE316}" name="Columna9" headerRowDxfId="370" dataDxfId="369"/>
    <tableColumn id="10" xr3:uid="{9D3C1878-4B2E-4294-9098-8B970E5F8CC4}" name="Columna10" headerRowDxfId="368" dataDxfId="367"/>
    <tableColumn id="11" xr3:uid="{91E03B54-1A3E-4945-84DB-E52E69BCC37F}" name="Columna11" headerRowDxfId="366" dataDxfId="365"/>
    <tableColumn id="12" xr3:uid="{5941D5BE-C6F5-4032-8CF0-F74B814752F5}" name="Columna12" headerRowDxfId="364" dataDxfId="36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8B3CF2A-79D5-40B7-BEF2-33C3A8CF4E43}" name="Tabla23" displayName="Tabla23" ref="W10:AB103" headerRowCount="0" totalsRowShown="0" headerRowDxfId="362" dataDxfId="361">
  <tableColumns count="6">
    <tableColumn id="1" xr3:uid="{E72D4993-280D-4BF7-97D0-41179DD0E29D}" name="Columna1" headerRowDxfId="360" dataDxfId="359"/>
    <tableColumn id="2" xr3:uid="{9475C00B-1DE0-494B-AC8B-FAB9687AE19A}" name="Columna2" headerRowDxfId="358" dataDxfId="357"/>
    <tableColumn id="3" xr3:uid="{A04991F0-4360-4902-95EE-A8D94FC02087}" name="Columna3" headerRowDxfId="356" dataDxfId="355"/>
    <tableColumn id="4" xr3:uid="{6D6D1F41-E49F-404A-A9D1-46BCE0EF26D6}" name="Columna4" headerRowDxfId="354" dataDxfId="353"/>
    <tableColumn id="5" xr3:uid="{5014ED9F-0562-412A-962F-67E2E8D7FB86}" name="Columna5" headerRowDxfId="352" dataDxfId="351"/>
    <tableColumn id="6" xr3:uid="{08CF6631-D5E1-4A27-8887-5E115E27D517}" name="Columna6" headerRowDxfId="350" dataDxfId="349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CD79306-604E-4B3B-BC5C-E9E5A6EB7BBF}" name="Tabla24" displayName="Tabla24" ref="AD10:AI100" headerRowCount="0" totalsRowShown="0" headerRowDxfId="348" dataDxfId="347">
  <tableColumns count="6">
    <tableColumn id="1" xr3:uid="{607C3AAD-F367-496B-B8B7-8F758A0CF6E6}" name="Columna1" headerRowDxfId="346" dataDxfId="345"/>
    <tableColumn id="2" xr3:uid="{4FBDAE40-FBE6-4FFC-BC63-C71B7F703E53}" name="Columna2" headerRowDxfId="344" dataDxfId="343"/>
    <tableColumn id="3" xr3:uid="{3E7F5CFD-C541-4E2F-9CAA-B21CC60BDE9A}" name="Columna3" headerRowDxfId="342" dataDxfId="341"/>
    <tableColumn id="4" xr3:uid="{50900C58-1936-4800-911F-3E69755C4402}" name="Columna4" headerRowDxfId="340" dataDxfId="339"/>
    <tableColumn id="5" xr3:uid="{1017018C-5F86-45A0-B111-18DCCFB5FE0A}" name="Columna5" headerRowDxfId="338" dataDxfId="337"/>
    <tableColumn id="6" xr3:uid="{C5280848-BF92-48FB-9ED3-9973426CF62F}" name="Columna6" headerRowDxfId="336" dataDxfId="335"/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BBC7006-5858-4FA6-97A5-6FB567616514}" name="Tabla25" displayName="Tabla25" ref="AK10:AP100" headerRowCount="0" totalsRowShown="0" headerRowDxfId="334" dataDxfId="333">
  <tableColumns count="6">
    <tableColumn id="1" xr3:uid="{8380EE1B-6CA6-4D51-8ED5-5EB7A99B565E}" name="Columna1" headerRowDxfId="332" dataDxfId="331"/>
    <tableColumn id="2" xr3:uid="{CED0CCFA-79B3-4A02-B148-B93C4B11B229}" name="Columna2" headerRowDxfId="330" dataDxfId="329"/>
    <tableColumn id="3" xr3:uid="{E24F9F2B-A5C6-4EB8-994E-C2F0C8E72EBE}" name="Columna3" headerRowDxfId="328" dataDxfId="327"/>
    <tableColumn id="4" xr3:uid="{0F56CA65-4787-43A1-A741-E37722755ACC}" name="Columna4" headerRowDxfId="326" dataDxfId="325"/>
    <tableColumn id="5" xr3:uid="{CEDABD75-B5BD-4C62-BFFF-B76110D6B2DA}" name="Columna5" headerRowDxfId="324" dataDxfId="323"/>
    <tableColumn id="6" xr3:uid="{A69AD19E-E9B9-44D4-B1CB-539FBFFEEE8E}" name="Columna6" headerRowDxfId="322" dataDxfId="321"/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EBB33-C98A-421E-8996-B83028E294F6}" name="Tabla1" displayName="Tabla1" ref="AR10:AW104" headerRowCount="0" totalsRowShown="0">
  <tableColumns count="6">
    <tableColumn id="1" xr3:uid="{B237679C-0BE8-4929-B982-C62E36A686E0}" name="Columna1"/>
    <tableColumn id="2" xr3:uid="{AB1B56E8-C6A1-4BD9-94C6-6BC3BE3DAC3A}" name="Columna2"/>
    <tableColumn id="3" xr3:uid="{2FF39A3D-76F0-47C0-868C-9203B58B1A29}" name="Columna3"/>
    <tableColumn id="4" xr3:uid="{553A4238-C60A-4B7E-8A16-AAE101C75C3E}" name="Columna4"/>
    <tableColumn id="5" xr3:uid="{D87BEAF5-F420-46E5-B7D9-2203FF12B27E}" name="Columna5"/>
    <tableColumn id="6" xr3:uid="{7A122296-5AA6-4328-8CFF-2B2E457C9144}" name="Columna6"/>
  </tableColumns>
  <tableStyleInfo name="Estilo de tabla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3224C6-F42C-47EA-835E-25E9C5C9958F}" name="Tabla2" displayName="Tabla2" ref="AY10:BD104" headerRowCount="0" totalsRowShown="0">
  <tableColumns count="6">
    <tableColumn id="1" xr3:uid="{277DB97F-7BB2-4366-A9FD-2C00D3EF1CD5}" name="Columna1"/>
    <tableColumn id="2" xr3:uid="{AD161C84-B100-4C20-A271-F7C470773175}" name="Columna2"/>
    <tableColumn id="3" xr3:uid="{F096F0B1-1B72-404F-A87E-B18EF5853149}" name="Columna3"/>
    <tableColumn id="4" xr3:uid="{4CA2FFBE-72D2-4C4A-A285-28E99040B21B}" name="Columna4"/>
    <tableColumn id="5" xr3:uid="{8D2B3387-94A5-49AC-A591-F8CEB9B942A2}" name="Columna5"/>
    <tableColumn id="6" xr3:uid="{F0BD5626-E771-4BC9-93FE-BA38AB70FFD7}" name="Columna6"/>
  </tableColumns>
  <tableStyleInfo name="Estilo de tabla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CEAADD-8FF6-4C88-8415-B81619625999}" name="Tabla3" displayName="Tabla3" ref="BG10:CJ65" headerRowCount="0" totalsRowShown="0" headerRowDxfId="320" dataDxfId="319">
  <tableColumns count="30">
    <tableColumn id="1" xr3:uid="{9A06EE2D-14E6-4577-A83A-ADE2084205E0}" name="Columna1" headerRowDxfId="318" dataDxfId="317"/>
    <tableColumn id="2" xr3:uid="{252078B1-8BE5-41E7-8961-8A38F0E39553}" name="Columna2" headerRowDxfId="316" dataDxfId="315"/>
    <tableColumn id="3" xr3:uid="{F8415479-0D9C-4D40-BBCF-C03D6E1C8582}" name="Columna3" headerRowDxfId="314" dataDxfId="313"/>
    <tableColumn id="4" xr3:uid="{146285D6-6B92-42B4-9153-CCDA7530AD71}" name="Columna4" headerRowDxfId="312" dataDxfId="311"/>
    <tableColumn id="5" xr3:uid="{755B62BA-6EDF-4495-929A-F220A3A27BBC}" name="Columna5" headerRowDxfId="310" dataDxfId="309"/>
    <tableColumn id="6" xr3:uid="{C816C272-446B-4A46-8DF1-A29CBEF66C19}" name="Columna6" headerRowDxfId="308" dataDxfId="307"/>
    <tableColumn id="7" xr3:uid="{7F44CD7F-233E-47D3-BB9D-CFE56A8AEA22}" name="Columna7" headerRowDxfId="306" dataDxfId="305"/>
    <tableColumn id="8" xr3:uid="{4D4349A2-095D-4A79-BC6A-BCF84A983277}" name="Columna8" headerRowDxfId="304" dataDxfId="303"/>
    <tableColumn id="9" xr3:uid="{D068A52A-4E9A-4183-8385-D1A5000FAB02}" name="Columna9" headerRowDxfId="302" dataDxfId="301"/>
    <tableColumn id="10" xr3:uid="{05885739-5A3D-46C5-92A4-38AAA2026B38}" name="Columna10" headerRowDxfId="300" dataDxfId="299"/>
    <tableColumn id="11" xr3:uid="{043BFE3D-1077-4A88-ABAA-027E97638839}" name="Columna11" headerRowDxfId="298" dataDxfId="297"/>
    <tableColumn id="12" xr3:uid="{D60EB076-F18A-4FC5-A2CE-20751447F65D}" name="Columna12" headerRowDxfId="296" dataDxfId="295"/>
    <tableColumn id="13" xr3:uid="{936B9AE9-CCA0-490A-A9F0-89D6100009DE}" name="Columna13" headerRowDxfId="294" dataDxfId="293"/>
    <tableColumn id="14" xr3:uid="{F02E7D9B-EBB8-42A9-B066-D817BA662E25}" name="Columna14" headerRowDxfId="292" dataDxfId="291"/>
    <tableColumn id="15" xr3:uid="{8B1F21AD-2671-4E63-9E40-727AB75A4B19}" name="Columna15" headerRowDxfId="290" dataDxfId="289"/>
    <tableColumn id="16" xr3:uid="{4D052936-BAE2-43CE-8DF2-5579F4B67F76}" name="Columna16" headerRowDxfId="288" dataDxfId="287"/>
    <tableColumn id="17" xr3:uid="{ACD907E8-3195-4FFC-9ABD-9945F824E82A}" name="Columna17" headerRowDxfId="286" dataDxfId="285"/>
    <tableColumn id="18" xr3:uid="{BBF49798-0664-44D9-A52C-080E6A0E18A8}" name="Columna18" headerRowDxfId="284" dataDxfId="283"/>
    <tableColumn id="19" xr3:uid="{8FED28A5-8C62-4358-99A6-A7DB500FAF9C}" name="Columna19" headerRowDxfId="282" dataDxfId="281"/>
    <tableColumn id="20" xr3:uid="{382852CE-D7D6-4D65-82AF-CD8F6B0A8896}" name="Columna20" headerRowDxfId="280" dataDxfId="279"/>
    <tableColumn id="21" xr3:uid="{C2427F80-EB46-4765-AB7D-D7D60297B25A}" name="Columna21" headerRowDxfId="278" dataDxfId="277"/>
    <tableColumn id="22" xr3:uid="{53C3BABE-40DA-405D-B9BB-E45346784EE8}" name="Columna22" headerRowDxfId="276" dataDxfId="275"/>
    <tableColumn id="23" xr3:uid="{3C018ABE-F84C-4523-91F9-10E51E735AED}" name="Columna23" headerRowDxfId="274" dataDxfId="273"/>
    <tableColumn id="24" xr3:uid="{77368C47-876B-4C4E-B85F-8F60B2011BE0}" name="Columna24" headerRowDxfId="272" dataDxfId="271"/>
    <tableColumn id="25" xr3:uid="{98C8D4B6-6422-451C-A555-FECD4140DBBE}" name="Columna25" headerRowDxfId="270" dataDxfId="269"/>
    <tableColumn id="26" xr3:uid="{1813833F-0A54-4A85-9F5F-660779D479FE}" name="Columna26" headerRowDxfId="268" dataDxfId="267"/>
    <tableColumn id="27" xr3:uid="{DD7B67F2-293A-45BA-B737-DC6FA3E652DB}" name="Columna27" headerRowDxfId="266" dataDxfId="265"/>
    <tableColumn id="28" xr3:uid="{73F28367-0FF1-4437-858E-470A3BDBAB8B}" name="Columna28" headerRowDxfId="264" dataDxfId="263"/>
    <tableColumn id="29" xr3:uid="{601CA813-DC8F-4972-BA4D-7A247FB99162}" name="Columna29" headerRowDxfId="262" dataDxfId="261"/>
    <tableColumn id="30" xr3:uid="{08117838-AEE4-40E4-9771-2CDF665C6DE6}" name="Columna30" headerRowDxfId="260" dataDxfId="259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EAEF54-F182-48DA-9064-7F18DAC2222E}" name="Tabla4" displayName="Tabla4" ref="CL10:CU67" headerRowCount="0" totalsRowShown="0" headerRowDxfId="258" dataDxfId="257">
  <tableColumns count="10">
    <tableColumn id="1" xr3:uid="{87D0616E-696D-48A7-9C1C-526AC5805313}" name="Columna1" headerRowDxfId="256" dataDxfId="255"/>
    <tableColumn id="2" xr3:uid="{D7AB9D28-55B5-403E-BCFE-DC94CE212572}" name="Columna2" headerRowDxfId="254" dataDxfId="253"/>
    <tableColumn id="3" xr3:uid="{DB5B5768-DD7C-4A73-B5B4-55C2677A784B}" name="Columna3" headerRowDxfId="252" dataDxfId="251"/>
    <tableColumn id="4" xr3:uid="{DC458F0E-A43F-41F1-A61C-777F549F8479}" name="Columna4" headerRowDxfId="250" dataDxfId="249"/>
    <tableColumn id="5" xr3:uid="{679083E7-8ECE-4332-9C14-29481B15B433}" name="Columna5" headerRowDxfId="248" dataDxfId="247"/>
    <tableColumn id="6" xr3:uid="{820B3586-3294-4CA5-873A-72C822D768FB}" name="Columna6" headerRowDxfId="246" dataDxfId="245"/>
    <tableColumn id="7" xr3:uid="{46E5A59C-17CD-4FE2-8CDB-678FB7286734}" name="Columna7" headerRowDxfId="244" dataDxfId="243"/>
    <tableColumn id="8" xr3:uid="{70E815F7-C786-4555-BD24-2EFDB4B8CEF6}" name="Columna8" headerRowDxfId="242" dataDxfId="241"/>
    <tableColumn id="9" xr3:uid="{827BA9AB-9FD5-4C8E-9D25-8375BC7192DA}" name="Columna9" headerRowDxfId="240" dataDxfId="239"/>
    <tableColumn id="10" xr3:uid="{71C66687-D88D-48CE-8D4F-C38D036B4A6F}" name="Columna10" headerRowDxfId="238" dataDxfId="237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253EB2-6EC0-4E72-92D0-B28FFB357DE1}" name="Tabla5" displayName="Tabla5" ref="CW10:DF67" headerRowCount="0" totalsRowShown="0" headerRowDxfId="236" dataDxfId="235">
  <tableColumns count="10">
    <tableColumn id="1" xr3:uid="{40038F9A-D6B9-48F9-B97C-79F3C050A7FB}" name="Columna1" headerRowDxfId="234" dataDxfId="233"/>
    <tableColumn id="2" xr3:uid="{6553EB8D-2A35-4939-A9F5-3F3AE21A4073}" name="Columna2" headerRowDxfId="232" dataDxfId="231"/>
    <tableColumn id="3" xr3:uid="{527A3F8F-E1B7-4D1B-B6EE-23135599C911}" name="Columna3" headerRowDxfId="230" dataDxfId="229"/>
    <tableColumn id="4" xr3:uid="{62C66542-ECDC-4FE7-905D-25582D646464}" name="Columna4" headerRowDxfId="228" dataDxfId="227"/>
    <tableColumn id="5" xr3:uid="{63217B1C-71B4-4B34-A793-19688BF65E75}" name="Columna5" headerRowDxfId="226" dataDxfId="225"/>
    <tableColumn id="6" xr3:uid="{9AD67158-0F83-4FF4-ADDE-15E816590EDE}" name="Columna6" headerRowDxfId="224" dataDxfId="223"/>
    <tableColumn id="7" xr3:uid="{D1FAAA1B-DDBE-45C4-948B-B4FA2CE10D7F}" name="Columna7" headerRowDxfId="222" dataDxfId="221"/>
    <tableColumn id="8" xr3:uid="{2558D924-2D6E-4EBA-A3CF-3468460DBC65}" name="Columna8" headerRowDxfId="220" dataDxfId="219"/>
    <tableColumn id="9" xr3:uid="{3895CFFD-818B-49CC-BDDB-DEBE98E43B5E}" name="Columna9" headerRowDxfId="218" dataDxfId="217"/>
    <tableColumn id="10" xr3:uid="{005BFF1E-8EE5-4068-BCDE-3E841C206ABA}" name="Columna10" headerRowDxfId="216" dataDxfId="215"/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FEA1A6-9E47-4450-88A9-B81F7E928793}" name="Tabla6" displayName="Tabla6" ref="AD12:AK119" headerRowCount="0" totalsRowShown="0" headerRowDxfId="214" dataDxfId="213">
  <tableColumns count="8">
    <tableColumn id="1" xr3:uid="{BD40E393-CAF8-435B-8D0A-8D9CE3D57CAB}" name="Columna1" headerRowDxfId="212" dataDxfId="211"/>
    <tableColumn id="2" xr3:uid="{3B7DC149-D846-44EC-8868-118F875E5388}" name="Columna2" headerRowDxfId="210" dataDxfId="209"/>
    <tableColumn id="3" xr3:uid="{8C932475-F230-4A50-8D11-D7B104777875}" name="Columna3" headerRowDxfId="208" dataDxfId="207"/>
    <tableColumn id="4" xr3:uid="{7E82F31D-83E6-41FE-A07F-D1D2B4EA9C31}" name="Columna4" headerRowDxfId="206" dataDxfId="205">
      <calculatedColumnFormula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calculatedColumnFormula>
    </tableColumn>
    <tableColumn id="5" xr3:uid="{03134CCD-6806-42C6-985F-BA8F822034A8}" name="Columna5" headerRowDxfId="204" dataDxfId="203"/>
    <tableColumn id="6" xr3:uid="{EA03DAA1-93FB-4D20-8915-45AFF29E7E6A}" name="Columna6" headerRowDxfId="202" dataDxfId="201"/>
    <tableColumn id="7" xr3:uid="{94D4AD01-B79F-4D26-BCEF-A975B74D3189}" name="Columna7" headerRowDxfId="200" dataDxfId="199"/>
    <tableColumn id="8" xr3:uid="{FE9D1D9C-15DF-4859-A6DB-A48D38051E21}" name="Columna8" headerRowDxfId="198" dataDxfId="197">
      <calculatedColumnFormula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C399DF-5163-4D30-BEA0-95AAEA1DE873}">
  <we:reference id="e849ddb8-6bbd-4833-bd4b-59030099d63e" version="1.0.0.0" store="EXCatalog" storeType="EXCatalog"/>
  <we:alternateReferences>
    <we:reference id="WA200000113" version="1.0.0.0" store="es-E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DDD5-92EF-41FC-BFF4-F402C6629B66}">
  <sheetPr>
    <tabColor rgb="FF223B82"/>
  </sheetPr>
  <dimension ref="D7:P320"/>
  <sheetViews>
    <sheetView workbookViewId="0">
      <selection activeCell="E15" sqref="E15"/>
    </sheetView>
    <sheetView tabSelected="1" topLeftCell="D295" zoomScaleNormal="100" workbookViewId="1">
      <selection activeCell="L315" sqref="L315"/>
    </sheetView>
  </sheetViews>
  <sheetFormatPr baseColWidth="10" defaultRowHeight="14.4" x14ac:dyDescent="0.3"/>
  <cols>
    <col min="1" max="16384" width="11.5546875" style="8"/>
  </cols>
  <sheetData>
    <row r="7" spans="5:13" x14ac:dyDescent="0.3">
      <c r="E7" s="54" t="s">
        <v>736</v>
      </c>
    </row>
    <row r="9" spans="5:13" x14ac:dyDescent="0.3">
      <c r="E9" s="54" t="s">
        <v>311</v>
      </c>
      <c r="F9" s="60">
        <v>1.01</v>
      </c>
    </row>
    <row r="11" spans="5:13" x14ac:dyDescent="0.3">
      <c r="E11" s="54" t="s">
        <v>11</v>
      </c>
      <c r="F11" s="52" t="s">
        <v>362</v>
      </c>
      <c r="G11" s="52" t="s">
        <v>466</v>
      </c>
      <c r="H11" s="52"/>
      <c r="I11" s="52"/>
      <c r="J11" s="52" t="s">
        <v>355</v>
      </c>
      <c r="K11" s="52"/>
      <c r="L11" s="52"/>
      <c r="M11" s="52" t="s">
        <v>470</v>
      </c>
    </row>
    <row r="12" spans="5:13" x14ac:dyDescent="0.3">
      <c r="E12" s="52" t="s">
        <v>6</v>
      </c>
      <c r="F12" s="53" t="s">
        <v>365</v>
      </c>
      <c r="G12" s="60"/>
      <c r="H12" s="57"/>
      <c r="I12" s="57"/>
      <c r="J12" s="60"/>
      <c r="K12" s="57"/>
      <c r="L12" s="57"/>
      <c r="M12" s="56" cm="1">
        <f t="array" ref="M12:M16">'D Actual'!N8:N12</f>
        <v>0</v>
      </c>
    </row>
    <row r="13" spans="5:13" x14ac:dyDescent="0.3">
      <c r="E13" s="52" t="s">
        <v>7</v>
      </c>
      <c r="F13" s="53" t="s">
        <v>365</v>
      </c>
      <c r="G13" s="60"/>
      <c r="H13" s="57"/>
      <c r="I13" s="57"/>
      <c r="J13" s="60"/>
      <c r="K13" s="57"/>
      <c r="L13" s="57"/>
      <c r="M13" s="56">
        <v>0</v>
      </c>
    </row>
    <row r="14" spans="5:13" x14ac:dyDescent="0.3">
      <c r="E14" s="52" t="s">
        <v>8</v>
      </c>
      <c r="F14" s="53" t="s">
        <v>365</v>
      </c>
      <c r="G14" s="60"/>
      <c r="H14" s="57"/>
      <c r="I14" s="57"/>
      <c r="J14" s="60"/>
      <c r="K14" s="57"/>
      <c r="L14" s="57"/>
      <c r="M14" s="56">
        <v>0</v>
      </c>
    </row>
    <row r="15" spans="5:13" x14ac:dyDescent="0.3">
      <c r="E15" s="52" t="s">
        <v>9</v>
      </c>
      <c r="F15" s="53" t="s">
        <v>365</v>
      </c>
      <c r="G15" s="60"/>
      <c r="H15" s="57"/>
      <c r="I15" s="57"/>
      <c r="J15" s="60"/>
      <c r="K15" s="57"/>
      <c r="L15" s="57"/>
      <c r="M15" s="56">
        <v>0</v>
      </c>
    </row>
    <row r="16" spans="5:13" x14ac:dyDescent="0.3">
      <c r="E16" s="52" t="s">
        <v>10</v>
      </c>
      <c r="F16" s="53" t="s">
        <v>365</v>
      </c>
      <c r="G16" s="60"/>
      <c r="H16" s="57"/>
      <c r="I16" s="57"/>
      <c r="J16" s="60"/>
      <c r="K16" s="57"/>
      <c r="L16" s="57"/>
      <c r="M16" s="56">
        <v>0</v>
      </c>
    </row>
    <row r="19" spans="5:12" x14ac:dyDescent="0.3">
      <c r="E19" s="54" t="s">
        <v>46</v>
      </c>
      <c r="F19" s="52" t="s">
        <v>362</v>
      </c>
      <c r="G19" s="52" t="s">
        <v>352</v>
      </c>
      <c r="H19" s="52" t="s">
        <v>359</v>
      </c>
      <c r="I19" s="60">
        <v>0.95</v>
      </c>
      <c r="J19" s="52" t="s">
        <v>356</v>
      </c>
      <c r="K19" s="52" t="s">
        <v>353</v>
      </c>
      <c r="L19" s="52" t="s">
        <v>470</v>
      </c>
    </row>
    <row r="20" spans="5:12" x14ac:dyDescent="0.3">
      <c r="E20" s="52" t="s">
        <v>47</v>
      </c>
      <c r="F20" s="57" t="s">
        <v>357</v>
      </c>
      <c r="G20" s="60"/>
      <c r="H20" s="58" t="s">
        <v>364</v>
      </c>
      <c r="I20" s="60"/>
      <c r="J20" s="57"/>
      <c r="K20" s="57"/>
      <c r="L20" s="56" cm="1">
        <f t="array" ref="L20:L28">'D Actual'!N16:N24</f>
        <v>412.20499999999998</v>
      </c>
    </row>
    <row r="21" spans="5:12" x14ac:dyDescent="0.3">
      <c r="E21" s="52" t="s">
        <v>48</v>
      </c>
      <c r="F21" s="57" t="s">
        <v>357</v>
      </c>
      <c r="G21" s="60"/>
      <c r="H21" s="58" t="s">
        <v>364</v>
      </c>
      <c r="I21" s="60"/>
      <c r="J21" s="57"/>
      <c r="K21" s="57"/>
      <c r="L21" s="56">
        <v>326.22999999999996</v>
      </c>
    </row>
    <row r="22" spans="5:12" x14ac:dyDescent="0.3">
      <c r="E22" s="52" t="s">
        <v>49</v>
      </c>
      <c r="F22" s="57" t="s">
        <v>351</v>
      </c>
      <c r="G22" s="60">
        <v>70</v>
      </c>
      <c r="H22" s="58" t="s">
        <v>364</v>
      </c>
      <c r="I22" s="60"/>
      <c r="J22" s="57"/>
      <c r="K22" s="57"/>
      <c r="L22" s="56">
        <v>354.57799999999997</v>
      </c>
    </row>
    <row r="23" spans="5:12" x14ac:dyDescent="0.3">
      <c r="E23" s="52" t="s">
        <v>50</v>
      </c>
      <c r="F23" s="57"/>
      <c r="G23" s="60"/>
      <c r="H23" s="58"/>
      <c r="I23" s="60"/>
      <c r="J23" s="57"/>
      <c r="K23" s="57"/>
      <c r="L23" s="56">
        <v>0</v>
      </c>
    </row>
    <row r="24" spans="5:12" x14ac:dyDescent="0.3">
      <c r="E24" s="52" t="s">
        <v>51</v>
      </c>
      <c r="F24" s="57" t="s">
        <v>357</v>
      </c>
      <c r="G24" s="60"/>
      <c r="H24" s="58" t="s">
        <v>364</v>
      </c>
      <c r="I24" s="60"/>
      <c r="J24" s="57"/>
      <c r="K24" s="57"/>
      <c r="L24" s="56">
        <v>42.94</v>
      </c>
    </row>
    <row r="25" spans="5:12" x14ac:dyDescent="0.3">
      <c r="E25" s="52" t="s">
        <v>52</v>
      </c>
      <c r="F25" s="57"/>
      <c r="G25" s="60"/>
      <c r="H25" s="58"/>
      <c r="I25" s="60"/>
      <c r="J25" s="57"/>
      <c r="K25" s="57"/>
      <c r="L25" s="56">
        <v>0</v>
      </c>
    </row>
    <row r="26" spans="5:12" x14ac:dyDescent="0.3">
      <c r="E26" s="52" t="s">
        <v>53</v>
      </c>
      <c r="F26" s="57" t="s">
        <v>357</v>
      </c>
      <c r="G26" s="60"/>
      <c r="H26" s="58" t="s">
        <v>364</v>
      </c>
      <c r="I26" s="60"/>
      <c r="J26" s="57"/>
      <c r="K26" s="57"/>
      <c r="L26" s="56">
        <v>42.94</v>
      </c>
    </row>
    <row r="27" spans="5:12" x14ac:dyDescent="0.3">
      <c r="E27" s="52" t="s">
        <v>54</v>
      </c>
      <c r="F27" s="57" t="s">
        <v>351</v>
      </c>
      <c r="G27" s="60">
        <v>20</v>
      </c>
      <c r="H27" s="58" t="s">
        <v>364</v>
      </c>
      <c r="I27" s="60"/>
      <c r="J27" s="57"/>
      <c r="K27" s="57"/>
      <c r="L27" s="56">
        <v>8.5879999999999992</v>
      </c>
    </row>
    <row r="28" spans="5:12" x14ac:dyDescent="0.3">
      <c r="E28" s="52" t="s">
        <v>55</v>
      </c>
      <c r="F28" s="57" t="s">
        <v>351</v>
      </c>
      <c r="G28" s="60">
        <v>12</v>
      </c>
      <c r="H28" s="58" t="s">
        <v>364</v>
      </c>
      <c r="I28" s="60"/>
      <c r="J28" s="57"/>
      <c r="K28" s="57"/>
      <c r="L28" s="56">
        <v>4.3890000000000002</v>
      </c>
    </row>
    <row r="31" spans="5:12" x14ac:dyDescent="0.3">
      <c r="E31" s="54" t="s">
        <v>57</v>
      </c>
      <c r="F31" s="52" t="s">
        <v>362</v>
      </c>
      <c r="G31" s="52" t="s">
        <v>352</v>
      </c>
      <c r="H31" s="52" t="s">
        <v>359</v>
      </c>
      <c r="I31" s="60">
        <v>0.85</v>
      </c>
      <c r="J31" s="52" t="s">
        <v>356</v>
      </c>
      <c r="K31" s="52" t="s">
        <v>353</v>
      </c>
      <c r="L31" s="52" t="s">
        <v>470</v>
      </c>
    </row>
    <row r="32" spans="5:12" x14ac:dyDescent="0.3">
      <c r="E32" s="52" t="s">
        <v>58</v>
      </c>
      <c r="F32" s="57"/>
      <c r="G32" s="60"/>
      <c r="H32" s="58"/>
      <c r="I32" s="60"/>
      <c r="J32" s="57"/>
      <c r="K32" s="57"/>
      <c r="L32" s="56" cm="1">
        <f t="array" ref="L32:L35">'D Actual'!N28:N31</f>
        <v>0</v>
      </c>
    </row>
    <row r="33" spans="5:12" x14ac:dyDescent="0.3">
      <c r="E33" s="52" t="s">
        <v>59</v>
      </c>
      <c r="F33" s="57" t="s">
        <v>351</v>
      </c>
      <c r="G33" s="60">
        <v>80</v>
      </c>
      <c r="H33" s="58" t="s">
        <v>364</v>
      </c>
      <c r="I33" s="60"/>
      <c r="J33" s="57"/>
      <c r="K33" s="57"/>
      <c r="L33" s="56">
        <v>15.367999999999999</v>
      </c>
    </row>
    <row r="34" spans="5:12" x14ac:dyDescent="0.3">
      <c r="E34" s="52" t="s">
        <v>60</v>
      </c>
      <c r="F34" s="57"/>
      <c r="G34" s="60"/>
      <c r="H34" s="58"/>
      <c r="I34" s="60"/>
      <c r="J34" s="57"/>
      <c r="K34" s="57"/>
      <c r="L34" s="56">
        <v>0</v>
      </c>
    </row>
    <row r="35" spans="5:12" x14ac:dyDescent="0.3">
      <c r="E35" s="52" t="s">
        <v>61</v>
      </c>
      <c r="F35" s="57" t="s">
        <v>351</v>
      </c>
      <c r="G35" s="60">
        <v>18</v>
      </c>
      <c r="H35" s="58" t="s">
        <v>364</v>
      </c>
      <c r="I35" s="60"/>
      <c r="J35" s="57"/>
      <c r="K35" s="57"/>
      <c r="L35" s="56">
        <v>3.4578000000000002</v>
      </c>
    </row>
    <row r="38" spans="5:12" x14ac:dyDescent="0.3">
      <c r="E38" s="54" t="s">
        <v>19</v>
      </c>
      <c r="F38" s="52" t="s">
        <v>362</v>
      </c>
      <c r="G38" s="52" t="s">
        <v>352</v>
      </c>
      <c r="H38" s="52" t="s">
        <v>359</v>
      </c>
      <c r="I38" s="60">
        <v>1.0249999999999999</v>
      </c>
      <c r="J38" s="52" t="s">
        <v>356</v>
      </c>
      <c r="K38" s="52" t="s">
        <v>353</v>
      </c>
      <c r="L38" s="52" t="s">
        <v>470</v>
      </c>
    </row>
    <row r="39" spans="5:12" x14ac:dyDescent="0.3">
      <c r="E39" s="52" t="s">
        <v>20</v>
      </c>
      <c r="F39" s="57" t="s">
        <v>357</v>
      </c>
      <c r="G39" s="60"/>
      <c r="H39" s="57" t="s">
        <v>364</v>
      </c>
      <c r="I39" s="60"/>
      <c r="J39" s="57"/>
      <c r="K39" s="57"/>
      <c r="L39" s="56" cm="1">
        <f t="array" ref="L39:L63">'D Actual'!Y8:Y32</f>
        <v>1921.1574999999998</v>
      </c>
    </row>
    <row r="40" spans="5:12" x14ac:dyDescent="0.3">
      <c r="E40" s="52" t="s">
        <v>21</v>
      </c>
      <c r="F40" s="57" t="s">
        <v>357</v>
      </c>
      <c r="G40" s="60"/>
      <c r="H40" s="57" t="s">
        <v>364</v>
      </c>
      <c r="I40" s="60"/>
      <c r="J40" s="57"/>
      <c r="K40" s="57"/>
      <c r="L40" s="56">
        <v>251.63749999999999</v>
      </c>
    </row>
    <row r="41" spans="5:12" x14ac:dyDescent="0.3">
      <c r="E41" s="52" t="s">
        <v>25</v>
      </c>
      <c r="F41" s="57" t="s">
        <v>357</v>
      </c>
      <c r="G41" s="60"/>
      <c r="H41" s="57" t="s">
        <v>364</v>
      </c>
      <c r="I41" s="60"/>
      <c r="J41" s="57"/>
      <c r="K41" s="57"/>
      <c r="L41" s="56">
        <v>251.63749999999999</v>
      </c>
    </row>
    <row r="42" spans="5:12" x14ac:dyDescent="0.3">
      <c r="E42" s="52" t="s">
        <v>23</v>
      </c>
      <c r="F42" s="57" t="s">
        <v>357</v>
      </c>
      <c r="G42" s="60"/>
      <c r="H42" s="57" t="s">
        <v>364</v>
      </c>
      <c r="I42" s="60"/>
      <c r="J42" s="57"/>
      <c r="K42" s="57"/>
      <c r="L42" s="56">
        <v>1093.5725</v>
      </c>
    </row>
    <row r="43" spans="5:12" x14ac:dyDescent="0.3">
      <c r="E43" s="52" t="s">
        <v>26</v>
      </c>
      <c r="F43" s="57" t="s">
        <v>357</v>
      </c>
      <c r="G43" s="60"/>
      <c r="H43" s="57" t="s">
        <v>364</v>
      </c>
      <c r="I43" s="60"/>
      <c r="J43" s="57"/>
      <c r="K43" s="57"/>
      <c r="L43" s="56">
        <v>1093.5725</v>
      </c>
    </row>
    <row r="44" spans="5:12" x14ac:dyDescent="0.3">
      <c r="E44" s="52" t="s">
        <v>22</v>
      </c>
      <c r="F44" s="57" t="s">
        <v>357</v>
      </c>
      <c r="G44" s="60"/>
      <c r="H44" s="57" t="s">
        <v>364</v>
      </c>
      <c r="I44" s="60"/>
      <c r="J44" s="57"/>
      <c r="K44" s="57"/>
      <c r="L44" s="56">
        <v>622.89250000000004</v>
      </c>
    </row>
    <row r="45" spans="5:12" x14ac:dyDescent="0.3">
      <c r="E45" s="52" t="s">
        <v>31</v>
      </c>
      <c r="F45" s="57" t="s">
        <v>357</v>
      </c>
      <c r="G45" s="60"/>
      <c r="H45" s="57" t="s">
        <v>364</v>
      </c>
      <c r="I45" s="60"/>
      <c r="J45" s="57"/>
      <c r="K45" s="57"/>
      <c r="L45" s="56">
        <v>622.89250000000004</v>
      </c>
    </row>
    <row r="46" spans="5:12" x14ac:dyDescent="0.3">
      <c r="E46" s="52" t="s">
        <v>24</v>
      </c>
      <c r="F46" s="57" t="s">
        <v>357</v>
      </c>
      <c r="G46" s="60"/>
      <c r="H46" s="57" t="s">
        <v>364</v>
      </c>
      <c r="I46" s="60"/>
      <c r="J46" s="57"/>
      <c r="K46" s="57"/>
      <c r="L46" s="56">
        <v>1033.7124999999999</v>
      </c>
    </row>
    <row r="47" spans="5:12" x14ac:dyDescent="0.3">
      <c r="E47" s="52" t="s">
        <v>32</v>
      </c>
      <c r="F47" s="57" t="s">
        <v>357</v>
      </c>
      <c r="G47" s="60"/>
      <c r="H47" s="57" t="s">
        <v>364</v>
      </c>
      <c r="I47" s="60"/>
      <c r="J47" s="57"/>
      <c r="K47" s="57"/>
      <c r="L47" s="56">
        <v>1033.7124999999999</v>
      </c>
    </row>
    <row r="48" spans="5:12" x14ac:dyDescent="0.3">
      <c r="E48" s="52" t="s">
        <v>33</v>
      </c>
      <c r="F48" s="57" t="s">
        <v>357</v>
      </c>
      <c r="G48" s="60"/>
      <c r="H48" s="57" t="s">
        <v>364</v>
      </c>
      <c r="I48" s="60"/>
      <c r="J48" s="57"/>
      <c r="K48" s="57"/>
      <c r="L48" s="56">
        <v>622.89250000000004</v>
      </c>
    </row>
    <row r="49" spans="5:12" x14ac:dyDescent="0.3">
      <c r="E49" s="52" t="s">
        <v>34</v>
      </c>
      <c r="F49" s="57" t="s">
        <v>357</v>
      </c>
      <c r="G49" s="60"/>
      <c r="H49" s="57" t="s">
        <v>364</v>
      </c>
      <c r="I49" s="60"/>
      <c r="J49" s="57"/>
      <c r="K49" s="57"/>
      <c r="L49" s="56">
        <v>622.89250000000004</v>
      </c>
    </row>
    <row r="50" spans="5:12" x14ac:dyDescent="0.3">
      <c r="E50" s="52" t="s">
        <v>35</v>
      </c>
      <c r="F50" s="57" t="s">
        <v>357</v>
      </c>
      <c r="G50" s="60"/>
      <c r="H50" s="57" t="s">
        <v>364</v>
      </c>
      <c r="I50" s="60"/>
      <c r="J50" s="57"/>
      <c r="K50" s="57"/>
      <c r="L50" s="56">
        <v>1035.0449999999998</v>
      </c>
    </row>
    <row r="51" spans="5:12" x14ac:dyDescent="0.3">
      <c r="E51" s="52" t="s">
        <v>36</v>
      </c>
      <c r="F51" s="57" t="s">
        <v>357</v>
      </c>
      <c r="G51" s="60"/>
      <c r="H51" s="57" t="s">
        <v>364</v>
      </c>
      <c r="I51" s="60"/>
      <c r="J51" s="57"/>
      <c r="K51" s="57"/>
      <c r="L51" s="56">
        <v>1035.0449999999998</v>
      </c>
    </row>
    <row r="52" spans="5:12" x14ac:dyDescent="0.3">
      <c r="E52" s="52" t="s">
        <v>37</v>
      </c>
      <c r="F52" s="57" t="s">
        <v>357</v>
      </c>
      <c r="G52" s="60"/>
      <c r="H52" s="57" t="s">
        <v>364</v>
      </c>
      <c r="I52" s="60"/>
      <c r="J52" s="57"/>
      <c r="K52" s="57"/>
      <c r="L52" s="56">
        <v>622.89250000000004</v>
      </c>
    </row>
    <row r="53" spans="5:12" x14ac:dyDescent="0.3">
      <c r="E53" s="52" t="s">
        <v>38</v>
      </c>
      <c r="F53" s="57" t="s">
        <v>357</v>
      </c>
      <c r="G53" s="60"/>
      <c r="H53" s="57" t="s">
        <v>364</v>
      </c>
      <c r="I53" s="60"/>
      <c r="J53" s="57"/>
      <c r="K53" s="57"/>
      <c r="L53" s="56">
        <v>622.89250000000004</v>
      </c>
    </row>
    <row r="54" spans="5:12" x14ac:dyDescent="0.3">
      <c r="E54" s="52" t="s">
        <v>39</v>
      </c>
      <c r="F54" s="57"/>
      <c r="G54" s="60"/>
      <c r="H54" s="57"/>
      <c r="I54" s="60"/>
      <c r="J54" s="57"/>
      <c r="K54" s="57"/>
      <c r="L54" s="56">
        <v>0</v>
      </c>
    </row>
    <row r="55" spans="5:12" x14ac:dyDescent="0.3">
      <c r="E55" s="52" t="s">
        <v>40</v>
      </c>
      <c r="F55" s="57" t="s">
        <v>351</v>
      </c>
      <c r="G55" s="60">
        <v>21</v>
      </c>
      <c r="H55" s="57" t="s">
        <v>364</v>
      </c>
      <c r="I55" s="60"/>
      <c r="J55" s="57"/>
      <c r="K55" s="57"/>
      <c r="L55" s="56">
        <v>214.841025</v>
      </c>
    </row>
    <row r="56" spans="5:12" x14ac:dyDescent="0.3">
      <c r="E56" s="52" t="s">
        <v>41</v>
      </c>
      <c r="F56" s="57" t="s">
        <v>357</v>
      </c>
      <c r="G56" s="60"/>
      <c r="H56" s="57" t="s">
        <v>364</v>
      </c>
      <c r="I56" s="60"/>
      <c r="J56" s="57"/>
      <c r="K56" s="57"/>
      <c r="L56" s="56">
        <v>445.97749999999996</v>
      </c>
    </row>
    <row r="57" spans="5:12" x14ac:dyDescent="0.3">
      <c r="E57" s="52" t="s">
        <v>42</v>
      </c>
      <c r="F57" s="57" t="s">
        <v>357</v>
      </c>
      <c r="G57" s="60"/>
      <c r="H57" s="57" t="s">
        <v>364</v>
      </c>
      <c r="I57" s="60"/>
      <c r="J57" s="57"/>
      <c r="K57" s="57"/>
      <c r="L57" s="56">
        <v>445.97749999999996</v>
      </c>
    </row>
    <row r="58" spans="5:12" x14ac:dyDescent="0.3">
      <c r="E58" s="52" t="s">
        <v>43</v>
      </c>
      <c r="F58" s="57" t="s">
        <v>357</v>
      </c>
      <c r="G58" s="60"/>
      <c r="H58" s="57" t="s">
        <v>364</v>
      </c>
      <c r="I58" s="60"/>
      <c r="J58" s="57"/>
      <c r="K58" s="57"/>
      <c r="L58" s="56">
        <v>865.30499999999995</v>
      </c>
    </row>
    <row r="59" spans="5:12" x14ac:dyDescent="0.3">
      <c r="E59" s="52" t="s">
        <v>44</v>
      </c>
      <c r="F59" s="57" t="s">
        <v>357</v>
      </c>
      <c r="G59" s="60"/>
      <c r="H59" s="57" t="s">
        <v>364</v>
      </c>
      <c r="I59" s="60"/>
      <c r="J59" s="57"/>
      <c r="K59" s="57"/>
      <c r="L59" s="56">
        <v>865.30499999999995</v>
      </c>
    </row>
    <row r="60" spans="5:12" x14ac:dyDescent="0.3">
      <c r="E60" s="52" t="s">
        <v>30</v>
      </c>
      <c r="F60" s="57"/>
      <c r="G60" s="60"/>
      <c r="H60" s="57"/>
      <c r="I60" s="60"/>
      <c r="J60" s="57"/>
      <c r="K60" s="57"/>
      <c r="L60" s="56">
        <v>0</v>
      </c>
    </row>
    <row r="61" spans="5:12" x14ac:dyDescent="0.3">
      <c r="E61" s="52" t="s">
        <v>29</v>
      </c>
      <c r="F61" s="57"/>
      <c r="G61" s="60"/>
      <c r="H61" s="57"/>
      <c r="I61" s="60"/>
      <c r="J61" s="57"/>
      <c r="K61" s="57"/>
      <c r="L61" s="56">
        <v>0</v>
      </c>
    </row>
    <row r="62" spans="5:12" x14ac:dyDescent="0.3">
      <c r="E62" s="52" t="s">
        <v>28</v>
      </c>
      <c r="F62" s="57"/>
      <c r="G62" s="60"/>
      <c r="H62" s="57"/>
      <c r="I62" s="60"/>
      <c r="J62" s="57"/>
      <c r="K62" s="57"/>
      <c r="L62" s="56">
        <v>0</v>
      </c>
    </row>
    <row r="63" spans="5:12" x14ac:dyDescent="0.3">
      <c r="E63" s="52" t="s">
        <v>27</v>
      </c>
      <c r="F63" s="57"/>
      <c r="G63" s="60"/>
      <c r="H63" s="57"/>
      <c r="I63" s="60"/>
      <c r="J63" s="57"/>
      <c r="K63" s="57"/>
      <c r="L63" s="56">
        <v>0</v>
      </c>
    </row>
    <row r="66" spans="5:12" x14ac:dyDescent="0.3">
      <c r="E66" s="54" t="s">
        <v>63</v>
      </c>
      <c r="F66" s="52" t="s">
        <v>362</v>
      </c>
      <c r="G66" s="52" t="s">
        <v>352</v>
      </c>
      <c r="H66" s="52" t="s">
        <v>359</v>
      </c>
      <c r="I66" s="60">
        <v>0.9</v>
      </c>
      <c r="J66" s="52" t="s">
        <v>356</v>
      </c>
      <c r="K66" s="52" t="s">
        <v>353</v>
      </c>
      <c r="L66" s="52" t="s">
        <v>470</v>
      </c>
    </row>
    <row r="67" spans="5:12" x14ac:dyDescent="0.3">
      <c r="E67" s="52" t="s">
        <v>65</v>
      </c>
      <c r="F67" s="57"/>
      <c r="G67" s="60"/>
      <c r="H67" s="57"/>
      <c r="I67" s="60"/>
      <c r="J67" s="57"/>
      <c r="K67" s="57"/>
      <c r="L67" s="56" cm="1">
        <f t="array" ref="L67:L76">'D Actual'!AJ8:AJ17</f>
        <v>0</v>
      </c>
    </row>
    <row r="68" spans="5:12" x14ac:dyDescent="0.3">
      <c r="E68" s="52" t="s">
        <v>66</v>
      </c>
      <c r="F68" s="57" t="s">
        <v>357</v>
      </c>
      <c r="G68" s="60"/>
      <c r="H68" s="57" t="s">
        <v>364</v>
      </c>
      <c r="I68" s="60"/>
      <c r="J68" s="57"/>
      <c r="K68" s="57"/>
      <c r="L68" s="56">
        <v>16.829999999999998</v>
      </c>
    </row>
    <row r="69" spans="5:12" x14ac:dyDescent="0.3">
      <c r="E69" s="52" t="s">
        <v>67</v>
      </c>
      <c r="F69" s="57" t="s">
        <v>351</v>
      </c>
      <c r="G69" s="60">
        <v>70</v>
      </c>
      <c r="H69" s="57" t="s">
        <v>364</v>
      </c>
      <c r="I69" s="60"/>
      <c r="J69" s="57"/>
      <c r="K69" s="57"/>
      <c r="L69" s="56">
        <v>12.726000000000001</v>
      </c>
    </row>
    <row r="70" spans="5:12" x14ac:dyDescent="0.3">
      <c r="E70" s="52" t="s">
        <v>68</v>
      </c>
      <c r="F70" s="57" t="s">
        <v>351</v>
      </c>
      <c r="G70" s="60">
        <v>60</v>
      </c>
      <c r="H70" s="57" t="s">
        <v>364</v>
      </c>
      <c r="I70" s="60"/>
      <c r="J70" s="57"/>
      <c r="K70" s="57"/>
      <c r="L70" s="56">
        <v>23.976000000000003</v>
      </c>
    </row>
    <row r="71" spans="5:12" x14ac:dyDescent="0.3">
      <c r="E71" s="52" t="s">
        <v>69</v>
      </c>
      <c r="F71" s="57"/>
      <c r="G71" s="60"/>
      <c r="H71" s="57"/>
      <c r="I71" s="60"/>
      <c r="J71" s="57"/>
      <c r="K71" s="57"/>
      <c r="L71" s="56">
        <v>0</v>
      </c>
    </row>
    <row r="72" spans="5:12" x14ac:dyDescent="0.3">
      <c r="E72" s="52" t="s">
        <v>70</v>
      </c>
      <c r="F72" s="57"/>
      <c r="G72" s="60"/>
      <c r="H72" s="57"/>
      <c r="I72" s="60"/>
      <c r="J72" s="57"/>
      <c r="K72" s="57"/>
      <c r="L72" s="56">
        <v>0</v>
      </c>
    </row>
    <row r="73" spans="5:12" x14ac:dyDescent="0.3">
      <c r="E73" s="52" t="s">
        <v>71</v>
      </c>
      <c r="F73" s="57"/>
      <c r="G73" s="60"/>
      <c r="H73" s="57"/>
      <c r="I73" s="60"/>
      <c r="J73" s="57"/>
      <c r="K73" s="57"/>
      <c r="L73" s="56">
        <v>0</v>
      </c>
    </row>
    <row r="74" spans="5:12" x14ac:dyDescent="0.3">
      <c r="E74" s="52" t="s">
        <v>72</v>
      </c>
      <c r="F74" s="57" t="s">
        <v>351</v>
      </c>
      <c r="G74" s="60">
        <v>40</v>
      </c>
      <c r="H74" s="57" t="s">
        <v>364</v>
      </c>
      <c r="I74" s="60"/>
      <c r="J74" s="57"/>
      <c r="K74" s="57"/>
      <c r="L74" s="56">
        <v>0.72000000000000008</v>
      </c>
    </row>
    <row r="75" spans="5:12" x14ac:dyDescent="0.3">
      <c r="E75" s="52" t="s">
        <v>73</v>
      </c>
      <c r="F75" s="57" t="s">
        <v>357</v>
      </c>
      <c r="G75" s="60"/>
      <c r="H75" s="57" t="s">
        <v>364</v>
      </c>
      <c r="I75" s="60"/>
      <c r="J75" s="57"/>
      <c r="K75" s="57"/>
      <c r="L75" s="56">
        <v>0.72000000000000008</v>
      </c>
    </row>
    <row r="76" spans="5:12" x14ac:dyDescent="0.3">
      <c r="E76" s="52" t="s">
        <v>74</v>
      </c>
      <c r="F76" s="57" t="s">
        <v>357</v>
      </c>
      <c r="G76" s="60"/>
      <c r="H76" s="57" t="s">
        <v>364</v>
      </c>
      <c r="I76" s="60"/>
      <c r="J76" s="57"/>
      <c r="K76" s="57"/>
      <c r="L76" s="56">
        <v>0.72000000000000008</v>
      </c>
    </row>
    <row r="79" spans="5:12" x14ac:dyDescent="0.3">
      <c r="E79" s="54" t="s">
        <v>75</v>
      </c>
      <c r="F79" s="52" t="s">
        <v>362</v>
      </c>
      <c r="G79" s="52" t="s">
        <v>352</v>
      </c>
      <c r="H79" s="52" t="s">
        <v>359</v>
      </c>
      <c r="I79" s="60">
        <v>1</v>
      </c>
      <c r="J79" s="52" t="s">
        <v>356</v>
      </c>
      <c r="K79" s="52" t="s">
        <v>353</v>
      </c>
      <c r="L79" s="52" t="s">
        <v>470</v>
      </c>
    </row>
    <row r="80" spans="5:12" x14ac:dyDescent="0.3">
      <c r="E80" s="52" t="s">
        <v>76</v>
      </c>
      <c r="F80" s="57" t="s">
        <v>351</v>
      </c>
      <c r="G80" s="60">
        <v>60</v>
      </c>
      <c r="H80" s="57" t="s">
        <v>364</v>
      </c>
      <c r="I80" s="60"/>
      <c r="J80" s="57"/>
      <c r="K80" s="57"/>
      <c r="L80" s="56" cm="1">
        <f t="array" ref="L80:L81">'D Actual'!AJ20:AJ21</f>
        <v>71.7</v>
      </c>
    </row>
    <row r="81" spans="5:12" x14ac:dyDescent="0.3">
      <c r="E81" s="52" t="s">
        <v>77</v>
      </c>
      <c r="F81" s="57"/>
      <c r="G81" s="60"/>
      <c r="H81" s="57"/>
      <c r="I81" s="60"/>
      <c r="J81" s="57"/>
      <c r="K81" s="57"/>
      <c r="L81" s="56">
        <v>0</v>
      </c>
    </row>
    <row r="84" spans="5:12" x14ac:dyDescent="0.3">
      <c r="E84" s="54" t="s">
        <v>79</v>
      </c>
      <c r="F84" s="52" t="s">
        <v>362</v>
      </c>
      <c r="G84" s="52" t="s">
        <v>352</v>
      </c>
      <c r="H84" s="52" t="s">
        <v>359</v>
      </c>
      <c r="I84" s="60">
        <v>0.9</v>
      </c>
      <c r="J84" s="52" t="s">
        <v>356</v>
      </c>
      <c r="K84" s="52" t="s">
        <v>353</v>
      </c>
      <c r="L84" s="52" t="s">
        <v>470</v>
      </c>
    </row>
    <row r="85" spans="5:12" x14ac:dyDescent="0.3">
      <c r="E85" s="52" t="s">
        <v>80</v>
      </c>
      <c r="F85" s="57" t="s">
        <v>351</v>
      </c>
      <c r="G85" s="60">
        <v>20</v>
      </c>
      <c r="H85" s="57" t="s">
        <v>364</v>
      </c>
      <c r="I85" s="60"/>
      <c r="J85" s="57"/>
      <c r="K85" s="57"/>
      <c r="L85" s="56" cm="1">
        <f t="array" ref="L85:L87">'D Actual'!AJ24:AJ26</f>
        <v>0.88200000000000001</v>
      </c>
    </row>
    <row r="86" spans="5:12" x14ac:dyDescent="0.3">
      <c r="E86" s="52" t="s">
        <v>81</v>
      </c>
      <c r="F86" s="57" t="s">
        <v>351</v>
      </c>
      <c r="G86" s="60">
        <v>30</v>
      </c>
      <c r="H86" s="57" t="s">
        <v>364</v>
      </c>
      <c r="I86" s="60"/>
      <c r="J86" s="57"/>
      <c r="K86" s="57"/>
      <c r="L86" s="56">
        <v>2.4569999999999999</v>
      </c>
    </row>
    <row r="87" spans="5:12" x14ac:dyDescent="0.3">
      <c r="E87" s="52" t="s">
        <v>82</v>
      </c>
      <c r="F87" s="57" t="s">
        <v>351</v>
      </c>
      <c r="G87" s="60">
        <v>27</v>
      </c>
      <c r="H87" s="57" t="s">
        <v>364</v>
      </c>
      <c r="I87" s="60"/>
      <c r="J87" s="57"/>
      <c r="K87" s="57"/>
      <c r="L87" s="56">
        <v>1.0935000000000001</v>
      </c>
    </row>
    <row r="90" spans="5:12" x14ac:dyDescent="0.3">
      <c r="E90" s="54" t="s">
        <v>84</v>
      </c>
      <c r="F90" s="52" t="s">
        <v>362</v>
      </c>
      <c r="G90" s="52" t="s">
        <v>352</v>
      </c>
      <c r="H90" s="52" t="s">
        <v>359</v>
      </c>
      <c r="I90" s="60">
        <v>1</v>
      </c>
      <c r="J90" s="52" t="s">
        <v>356</v>
      </c>
      <c r="K90" s="52" t="s">
        <v>353</v>
      </c>
      <c r="L90" s="52" t="s">
        <v>470</v>
      </c>
    </row>
    <row r="91" spans="5:12" x14ac:dyDescent="0.3">
      <c r="E91" s="52" t="s">
        <v>85</v>
      </c>
      <c r="F91" s="57"/>
      <c r="G91" s="60"/>
      <c r="H91" s="57"/>
      <c r="I91" s="60"/>
      <c r="J91" s="57"/>
      <c r="K91" s="57"/>
      <c r="L91" s="56" cm="1">
        <f t="array" ref="L91:L95">'D Actual'!AJ29:AJ33</f>
        <v>0</v>
      </c>
    </row>
    <row r="92" spans="5:12" x14ac:dyDescent="0.3">
      <c r="E92" s="52" t="s">
        <v>86</v>
      </c>
      <c r="F92" s="57"/>
      <c r="G92" s="60"/>
      <c r="H92" s="57"/>
      <c r="I92" s="60"/>
      <c r="J92" s="57"/>
      <c r="K92" s="57"/>
      <c r="L92" s="56">
        <v>0</v>
      </c>
    </row>
    <row r="93" spans="5:12" x14ac:dyDescent="0.3">
      <c r="E93" s="52" t="s">
        <v>87</v>
      </c>
      <c r="F93" s="57" t="s">
        <v>351</v>
      </c>
      <c r="G93" s="60">
        <v>13</v>
      </c>
      <c r="H93" s="57" t="s">
        <v>364</v>
      </c>
      <c r="I93" s="60"/>
      <c r="J93" s="57"/>
      <c r="K93" s="57"/>
      <c r="L93" s="56">
        <v>4.55</v>
      </c>
    </row>
    <row r="94" spans="5:12" x14ac:dyDescent="0.3">
      <c r="E94" s="52" t="s">
        <v>88</v>
      </c>
      <c r="F94" s="57"/>
      <c r="G94" s="60"/>
      <c r="H94" s="57"/>
      <c r="I94" s="60"/>
      <c r="J94" s="57"/>
      <c r="K94" s="57"/>
      <c r="L94" s="56">
        <v>0</v>
      </c>
    </row>
    <row r="95" spans="5:12" x14ac:dyDescent="0.3">
      <c r="E95" s="52" t="s">
        <v>89</v>
      </c>
      <c r="F95" s="57" t="s">
        <v>351</v>
      </c>
      <c r="G95" s="60">
        <v>4</v>
      </c>
      <c r="H95" s="57" t="s">
        <v>364</v>
      </c>
      <c r="I95" s="60"/>
      <c r="J95" s="57"/>
      <c r="K95" s="57"/>
      <c r="L95" s="56">
        <v>0.124</v>
      </c>
    </row>
    <row r="98" spans="5:12" x14ac:dyDescent="0.3">
      <c r="E98" s="54" t="s">
        <v>566</v>
      </c>
      <c r="F98" s="52" t="s">
        <v>3</v>
      </c>
      <c r="G98" s="52" t="s">
        <v>17</v>
      </c>
      <c r="H98" s="52" t="s">
        <v>382</v>
      </c>
      <c r="I98" s="52" t="s">
        <v>15</v>
      </c>
      <c r="J98" s="52" t="s">
        <v>383</v>
      </c>
      <c r="K98" s="52" t="s">
        <v>16</v>
      </c>
      <c r="L98" s="52" t="s">
        <v>384</v>
      </c>
    </row>
    <row r="99" spans="5:12" x14ac:dyDescent="0.3">
      <c r="E99" s="52" t="s">
        <v>567</v>
      </c>
      <c r="F99" s="60">
        <v>15</v>
      </c>
      <c r="G99" s="60">
        <v>17</v>
      </c>
      <c r="H99" s="56">
        <f>F99*G99</f>
        <v>255</v>
      </c>
      <c r="I99" s="60">
        <v>20</v>
      </c>
      <c r="J99" s="56">
        <f>F99*I99</f>
        <v>300</v>
      </c>
      <c r="K99" s="60">
        <v>10</v>
      </c>
      <c r="L99" s="56">
        <f>F99*K99</f>
        <v>150</v>
      </c>
    </row>
    <row r="100" spans="5:12" x14ac:dyDescent="0.3">
      <c r="E100" s="52" t="s">
        <v>568</v>
      </c>
      <c r="F100" s="60">
        <v>6</v>
      </c>
      <c r="G100" s="60">
        <v>15</v>
      </c>
      <c r="H100" s="56">
        <f t="shared" ref="H100:H108" si="0">F100*G100</f>
        <v>90</v>
      </c>
      <c r="I100" s="60">
        <v>180</v>
      </c>
      <c r="J100" s="56">
        <f t="shared" ref="J100:J108" si="1">F100*I100</f>
        <v>1080</v>
      </c>
      <c r="K100" s="60">
        <v>0</v>
      </c>
      <c r="L100" s="56">
        <f t="shared" ref="L100:L108" si="2">F100*K100</f>
        <v>0</v>
      </c>
    </row>
    <row r="101" spans="5:12" x14ac:dyDescent="0.3">
      <c r="E101" s="52" t="s">
        <v>569</v>
      </c>
      <c r="F101" s="60"/>
      <c r="G101" s="60"/>
      <c r="H101" s="56">
        <f t="shared" si="0"/>
        <v>0</v>
      </c>
      <c r="I101" s="60"/>
      <c r="J101" s="56">
        <f t="shared" si="1"/>
        <v>0</v>
      </c>
      <c r="K101" s="60"/>
      <c r="L101" s="56">
        <f t="shared" si="2"/>
        <v>0</v>
      </c>
    </row>
    <row r="102" spans="5:12" x14ac:dyDescent="0.3">
      <c r="E102" s="52" t="s">
        <v>570</v>
      </c>
      <c r="F102" s="60"/>
      <c r="G102" s="60"/>
      <c r="H102" s="56">
        <f t="shared" si="0"/>
        <v>0</v>
      </c>
      <c r="I102" s="60"/>
      <c r="J102" s="56">
        <f t="shared" si="1"/>
        <v>0</v>
      </c>
      <c r="K102" s="60"/>
      <c r="L102" s="56">
        <f t="shared" si="2"/>
        <v>0</v>
      </c>
    </row>
    <row r="103" spans="5:12" x14ac:dyDescent="0.3">
      <c r="E103" s="52" t="s">
        <v>571</v>
      </c>
      <c r="F103" s="60"/>
      <c r="G103" s="60"/>
      <c r="H103" s="56">
        <f t="shared" si="0"/>
        <v>0</v>
      </c>
      <c r="I103" s="60"/>
      <c r="J103" s="56">
        <f t="shared" si="1"/>
        <v>0</v>
      </c>
      <c r="K103" s="60"/>
      <c r="L103" s="56">
        <f t="shared" si="2"/>
        <v>0</v>
      </c>
    </row>
    <row r="104" spans="5:12" x14ac:dyDescent="0.3">
      <c r="E104" s="52" t="s">
        <v>572</v>
      </c>
      <c r="F104" s="60"/>
      <c r="G104" s="60"/>
      <c r="H104" s="56">
        <f t="shared" si="0"/>
        <v>0</v>
      </c>
      <c r="I104" s="60"/>
      <c r="J104" s="56">
        <f t="shared" si="1"/>
        <v>0</v>
      </c>
      <c r="K104" s="60"/>
      <c r="L104" s="56">
        <f t="shared" si="2"/>
        <v>0</v>
      </c>
    </row>
    <row r="105" spans="5:12" x14ac:dyDescent="0.3">
      <c r="E105" s="52" t="s">
        <v>573</v>
      </c>
      <c r="F105" s="60"/>
      <c r="G105" s="60"/>
      <c r="H105" s="56">
        <f t="shared" si="0"/>
        <v>0</v>
      </c>
      <c r="I105" s="60"/>
      <c r="J105" s="56">
        <f t="shared" si="1"/>
        <v>0</v>
      </c>
      <c r="K105" s="60"/>
      <c r="L105" s="56">
        <f t="shared" si="2"/>
        <v>0</v>
      </c>
    </row>
    <row r="106" spans="5:12" x14ac:dyDescent="0.3">
      <c r="E106" s="52" t="s">
        <v>574</v>
      </c>
      <c r="F106" s="60"/>
      <c r="G106" s="60"/>
      <c r="H106" s="56">
        <f t="shared" si="0"/>
        <v>0</v>
      </c>
      <c r="I106" s="60"/>
      <c r="J106" s="56">
        <f t="shared" si="1"/>
        <v>0</v>
      </c>
      <c r="K106" s="60"/>
      <c r="L106" s="56">
        <f t="shared" si="2"/>
        <v>0</v>
      </c>
    </row>
    <row r="107" spans="5:12" x14ac:dyDescent="0.3">
      <c r="E107" s="52" t="s">
        <v>575</v>
      </c>
      <c r="F107" s="60"/>
      <c r="G107" s="60"/>
      <c r="H107" s="56">
        <f t="shared" si="0"/>
        <v>0</v>
      </c>
      <c r="I107" s="60"/>
      <c r="J107" s="56">
        <f t="shared" si="1"/>
        <v>0</v>
      </c>
      <c r="K107" s="60"/>
      <c r="L107" s="56">
        <f t="shared" si="2"/>
        <v>0</v>
      </c>
    </row>
    <row r="108" spans="5:12" x14ac:dyDescent="0.3">
      <c r="E108" s="52" t="s">
        <v>576</v>
      </c>
      <c r="F108" s="60"/>
      <c r="G108" s="60"/>
      <c r="H108" s="56">
        <f t="shared" si="0"/>
        <v>0</v>
      </c>
      <c r="I108" s="60"/>
      <c r="J108" s="56">
        <f t="shared" si="1"/>
        <v>0</v>
      </c>
      <c r="K108" s="60"/>
      <c r="L108" s="56">
        <f t="shared" si="2"/>
        <v>0</v>
      </c>
    </row>
    <row r="109" spans="5:12" x14ac:dyDescent="0.3">
      <c r="E109" s="18"/>
      <c r="F109" s="52" t="s">
        <v>3</v>
      </c>
      <c r="G109" s="52" t="s">
        <v>17</v>
      </c>
      <c r="H109" s="52" t="s">
        <v>382</v>
      </c>
      <c r="I109" s="52" t="s">
        <v>15</v>
      </c>
      <c r="J109" s="52" t="s">
        <v>383</v>
      </c>
      <c r="K109" s="52" t="s">
        <v>16</v>
      </c>
      <c r="L109" s="52" t="s">
        <v>384</v>
      </c>
    </row>
    <row r="110" spans="5:12" x14ac:dyDescent="0.3">
      <c r="E110" s="52" t="s">
        <v>461</v>
      </c>
      <c r="F110" s="56">
        <f>SUM(F99:F108)</f>
        <v>21</v>
      </c>
      <c r="G110" s="56">
        <f>IFERROR(H110/F110,0)</f>
        <v>16.428571428571427</v>
      </c>
      <c r="H110" s="56">
        <f>SUM(H99:H108)</f>
        <v>345</v>
      </c>
      <c r="I110" s="56">
        <f>IFERROR(J110/F110,0)</f>
        <v>65.714285714285708</v>
      </c>
      <c r="J110" s="56">
        <f>SUM(J99:J108)</f>
        <v>1380</v>
      </c>
      <c r="K110" s="56">
        <f>IFERROR(L110/F110,0)</f>
        <v>7.1428571428571432</v>
      </c>
      <c r="L110" s="56">
        <f>SUM(L99:L108)</f>
        <v>150</v>
      </c>
    </row>
    <row r="113" spans="5:12" x14ac:dyDescent="0.3">
      <c r="E113" s="54" t="s">
        <v>757</v>
      </c>
      <c r="F113" s="54"/>
    </row>
    <row r="115" spans="5:12" x14ac:dyDescent="0.3">
      <c r="E115" s="54" t="s">
        <v>386</v>
      </c>
      <c r="F115" s="56" cm="1">
        <f t="array" aca="1" ref="F115:F123" ca="1">'Condición Actual'!G10:G18</f>
        <v>27736.147824999993</v>
      </c>
      <c r="H115" s="52" t="s">
        <v>399</v>
      </c>
      <c r="I115" s="56">
        <f ca="1">'Condición Actual'!J10</f>
        <v>1.9861239910302173E-2</v>
      </c>
    </row>
    <row r="116" spans="5:12" x14ac:dyDescent="0.3">
      <c r="E116" s="52" t="s">
        <v>366</v>
      </c>
      <c r="F116" s="56">
        <f ca="1"/>
        <v>8.5374793658643231</v>
      </c>
      <c r="H116" s="54" t="s">
        <v>380</v>
      </c>
    </row>
    <row r="117" spans="5:12" x14ac:dyDescent="0.3">
      <c r="E117" s="52" t="s">
        <v>367</v>
      </c>
      <c r="F117" s="56">
        <f ca="1"/>
        <v>8.5718028056587237</v>
      </c>
      <c r="H117" s="52" t="s">
        <v>374</v>
      </c>
      <c r="I117" s="56" cm="1">
        <f t="array" aca="1" ref="I117:I119" ca="1">'Condición Actual'!J12:J14</f>
        <v>5.4505606016609578</v>
      </c>
      <c r="K117" s="52" t="s">
        <v>542</v>
      </c>
      <c r="L117" s="56" cm="1">
        <f t="array" aca="1" ref="L117:L121" ca="1">'Condición Actual'!G24:G28</f>
        <v>0</v>
      </c>
    </row>
    <row r="118" spans="5:12" x14ac:dyDescent="0.3">
      <c r="E118" s="52" t="s">
        <v>368</v>
      </c>
      <c r="F118" s="56">
        <f ca="1"/>
        <v>98.362558710629102</v>
      </c>
      <c r="H118" s="52" t="s">
        <v>375</v>
      </c>
      <c r="I118" s="56">
        <f ca="1"/>
        <v>6.385895248835034</v>
      </c>
      <c r="K118" s="52" t="s">
        <v>543</v>
      </c>
      <c r="L118" s="56">
        <f ca="1"/>
        <v>0</v>
      </c>
    </row>
    <row r="119" spans="5:12" x14ac:dyDescent="0.3">
      <c r="E119" s="52" t="s">
        <v>369</v>
      </c>
      <c r="F119" s="56">
        <f ca="1"/>
        <v>3.1179788842937216E-3</v>
      </c>
      <c r="H119" s="52" t="s">
        <v>376</v>
      </c>
      <c r="I119" s="56">
        <f ca="1"/>
        <v>5.9158028618162355</v>
      </c>
      <c r="K119" s="52" t="s">
        <v>544</v>
      </c>
      <c r="L119" s="56">
        <f ca="1"/>
        <v>0</v>
      </c>
    </row>
    <row r="120" spans="5:12" x14ac:dyDescent="0.3">
      <c r="E120" s="52" t="s">
        <v>370</v>
      </c>
      <c r="F120" s="56">
        <f ca="1"/>
        <v>3.4323439794401236E-2</v>
      </c>
      <c r="H120" s="54" t="s">
        <v>381</v>
      </c>
      <c r="I120" s="41"/>
      <c r="K120" s="52" t="s">
        <v>545</v>
      </c>
      <c r="L120" s="56">
        <f ca="1"/>
        <v>0</v>
      </c>
    </row>
    <row r="121" spans="5:12" x14ac:dyDescent="0.3">
      <c r="E121" s="52" t="s">
        <v>373</v>
      </c>
      <c r="F121" s="26">
        <f ca="1"/>
        <v>8.9947280516228325</v>
      </c>
      <c r="H121" s="52" t="s">
        <v>377</v>
      </c>
      <c r="I121" s="56" cm="1">
        <f t="array" aca="1" ref="I121:I123" ca="1">'Condición Actual'!J16:J18</f>
        <v>5.4238282537437081</v>
      </c>
      <c r="K121" s="52" t="s">
        <v>546</v>
      </c>
      <c r="L121" s="56">
        <f ca="1"/>
        <v>0</v>
      </c>
    </row>
    <row r="122" spans="5:12" x14ac:dyDescent="0.3">
      <c r="E122" s="52" t="s">
        <v>371</v>
      </c>
      <c r="F122" s="34">
        <f ca="1"/>
        <v>0</v>
      </c>
      <c r="H122" s="52" t="s">
        <v>378</v>
      </c>
      <c r="I122" s="56">
        <f ca="1"/>
        <v>6.4440667900213828</v>
      </c>
    </row>
    <row r="123" spans="5:12" x14ac:dyDescent="0.3">
      <c r="E123" s="52" t="s">
        <v>372</v>
      </c>
      <c r="F123" s="27" t="str">
        <f ca="1"/>
        <v/>
      </c>
      <c r="H123" s="52" t="s">
        <v>379</v>
      </c>
      <c r="I123" s="56">
        <f ca="1"/>
        <v>5.8938028618162353</v>
      </c>
    </row>
    <row r="124" spans="5:12" x14ac:dyDescent="0.3">
      <c r="I124" s="56"/>
    </row>
    <row r="126" spans="5:12" x14ac:dyDescent="0.3">
      <c r="E126" s="54" t="s">
        <v>738</v>
      </c>
    </row>
    <row r="128" spans="5:12" x14ac:dyDescent="0.3">
      <c r="E128" s="54" t="s">
        <v>140</v>
      </c>
      <c r="F128"/>
      <c r="J128" s="54" t="s">
        <v>144</v>
      </c>
      <c r="K128"/>
    </row>
    <row r="129" spans="5:13" x14ac:dyDescent="0.3">
      <c r="E129" s="52" t="s">
        <v>143</v>
      </c>
      <c r="F129" s="53" t="s">
        <v>251</v>
      </c>
      <c r="J129" s="52" t="s">
        <v>143</v>
      </c>
      <c r="K129" s="53" t="s">
        <v>248</v>
      </c>
    </row>
    <row r="130" spans="5:13" x14ac:dyDescent="0.3">
      <c r="E130" s="61" cm="1">
        <f t="array" ref="E130:H130">Navegación!E9:H9</f>
        <v>61.233333333333334</v>
      </c>
      <c r="F130" s="52" t="str">
        <v>N</v>
      </c>
      <c r="G130" s="61">
        <v>-149.88333333333333</v>
      </c>
      <c r="H130" s="52" t="str">
        <v>W</v>
      </c>
      <c r="J130" s="61" cm="1">
        <f t="array" ref="J130:M130">Navegación!L9:O9</f>
        <v>-36.833333333333336</v>
      </c>
      <c r="K130" s="52" t="str">
        <v>S</v>
      </c>
      <c r="L130" s="61">
        <v>174.78333333333333</v>
      </c>
      <c r="M130" s="52" t="str">
        <v>E</v>
      </c>
    </row>
    <row r="131" spans="5:13" x14ac:dyDescent="0.3">
      <c r="E131" s="52" t="s">
        <v>141</v>
      </c>
      <c r="F131" s="52" t="s">
        <v>263</v>
      </c>
      <c r="G131" s="52" t="s">
        <v>142</v>
      </c>
      <c r="H131" s="52" t="s">
        <v>145</v>
      </c>
      <c r="J131" s="52" t="s">
        <v>141</v>
      </c>
      <c r="K131" s="52" t="s">
        <v>263</v>
      </c>
      <c r="L131" s="52" t="s">
        <v>142</v>
      </c>
      <c r="M131" s="52" t="s">
        <v>145</v>
      </c>
    </row>
    <row r="132" spans="5:13" x14ac:dyDescent="0.3">
      <c r="E132" s="55"/>
      <c r="F132" s="55"/>
      <c r="G132" s="55"/>
      <c r="H132" s="53" t="s">
        <v>309</v>
      </c>
      <c r="J132" s="55"/>
      <c r="K132" s="55"/>
      <c r="L132" s="55"/>
      <c r="M132" s="53" t="s">
        <v>309</v>
      </c>
    </row>
    <row r="133" spans="5:13" x14ac:dyDescent="0.3">
      <c r="E133" s="52" t="s">
        <v>141</v>
      </c>
      <c r="F133" s="52" t="s">
        <v>263</v>
      </c>
      <c r="G133" s="52" t="s">
        <v>142</v>
      </c>
      <c r="H133" s="52" t="s">
        <v>146</v>
      </c>
      <c r="J133" s="52" t="s">
        <v>141</v>
      </c>
      <c r="K133" s="52" t="s">
        <v>263</v>
      </c>
      <c r="L133" s="52" t="s">
        <v>142</v>
      </c>
      <c r="M133" s="52" t="s">
        <v>146</v>
      </c>
    </row>
    <row r="134" spans="5:13" x14ac:dyDescent="0.3">
      <c r="E134" s="55"/>
      <c r="F134" s="55"/>
      <c r="G134" s="55"/>
      <c r="H134" s="53" t="s">
        <v>104</v>
      </c>
      <c r="J134" s="55"/>
      <c r="K134" s="55"/>
      <c r="L134" s="55"/>
      <c r="M134" s="53" t="s">
        <v>104</v>
      </c>
    </row>
    <row r="137" spans="5:13" x14ac:dyDescent="0.3">
      <c r="E137" s="52" t="s">
        <v>281</v>
      </c>
      <c r="F137" s="55">
        <v>15</v>
      </c>
    </row>
    <row r="139" spans="5:13" x14ac:dyDescent="0.3">
      <c r="E139" s="52" t="s">
        <v>280</v>
      </c>
      <c r="F139" s="56" cm="1">
        <f t="array" ref="F139:F140">Navegación!F19:F20</f>
        <v>6143.6756134521565</v>
      </c>
      <c r="G139" s="61" t="s">
        <v>287</v>
      </c>
      <c r="I139" s="52" t="s">
        <v>283</v>
      </c>
      <c r="J139" s="56" cm="1">
        <f t="array" ref="J139:J140">Navegación!J19:J20</f>
        <v>6131.8240075925596</v>
      </c>
    </row>
    <row r="140" spans="5:13" x14ac:dyDescent="0.3">
      <c r="E140" s="52" t="s">
        <v>282</v>
      </c>
      <c r="F140" s="56">
        <v>17.065765592922656</v>
      </c>
      <c r="G140" s="52" t="s">
        <v>286</v>
      </c>
      <c r="H140" s="56">
        <f>Navegación!H20</f>
        <v>11.85160585959693</v>
      </c>
      <c r="I140" s="52" t="s">
        <v>284</v>
      </c>
      <c r="J140" s="56">
        <v>17.032844465534886</v>
      </c>
    </row>
    <row r="142" spans="5:13" x14ac:dyDescent="0.3">
      <c r="E142" s="54" t="s">
        <v>308</v>
      </c>
      <c r="F142" s="53" t="s">
        <v>578</v>
      </c>
    </row>
    <row r="143" spans="5:13" x14ac:dyDescent="0.3">
      <c r="E143" s="52" t="s">
        <v>289</v>
      </c>
      <c r="F143" s="56" cm="1">
        <f t="array" ref="F143:F144">Navegación!F23:F24</f>
        <v>6131.8240075925596</v>
      </c>
    </row>
    <row r="144" spans="5:13" x14ac:dyDescent="0.3">
      <c r="E144" s="52" t="s">
        <v>288</v>
      </c>
      <c r="F144" s="56">
        <v>17.032844465534886</v>
      </c>
    </row>
    <row r="147" spans="5:15" x14ac:dyDescent="0.3">
      <c r="E147" s="54" t="s">
        <v>755</v>
      </c>
      <c r="F147" s="54"/>
    </row>
    <row r="149" spans="5:15" x14ac:dyDescent="0.3">
      <c r="E149" s="52" t="s">
        <v>471</v>
      </c>
      <c r="F149" s="52" t="s">
        <v>472</v>
      </c>
      <c r="G149" s="52" t="s">
        <v>473</v>
      </c>
      <c r="H149" s="52" t="s">
        <v>474</v>
      </c>
      <c r="I149" s="52" t="s">
        <v>475</v>
      </c>
      <c r="J149" s="52" t="s">
        <v>476</v>
      </c>
    </row>
    <row r="150" spans="5:15" x14ac:dyDescent="0.3">
      <c r="E150" s="60">
        <v>30</v>
      </c>
      <c r="F150" s="60">
        <v>3</v>
      </c>
      <c r="G150" s="60">
        <v>1</v>
      </c>
      <c r="H150" s="60"/>
      <c r="I150" s="60"/>
      <c r="J150" s="60">
        <v>2</v>
      </c>
    </row>
    <row r="153" spans="5:15" x14ac:dyDescent="0.3">
      <c r="E153" s="54" t="s">
        <v>739</v>
      </c>
    </row>
    <row r="155" spans="5:15" x14ac:dyDescent="0.3">
      <c r="E155" s="54" t="s">
        <v>346</v>
      </c>
      <c r="I155" s="54" t="s">
        <v>328</v>
      </c>
      <c r="J155" s="54"/>
      <c r="M155" s="54" t="s">
        <v>347</v>
      </c>
    </row>
    <row r="156" spans="5:15" x14ac:dyDescent="0.3">
      <c r="M156"/>
    </row>
    <row r="157" spans="5:15" x14ac:dyDescent="0.3">
      <c r="E157" s="52" t="s">
        <v>320</v>
      </c>
      <c r="F157" s="52">
        <f>'D Máximos'!I9</f>
        <v>63116</v>
      </c>
      <c r="G157" s="57" t="s">
        <v>104</v>
      </c>
      <c r="I157" s="52" t="s">
        <v>141</v>
      </c>
      <c r="J157" s="52" t="s">
        <v>263</v>
      </c>
      <c r="K157" s="52" t="s">
        <v>145</v>
      </c>
      <c r="M157" s="52" t="s">
        <v>325</v>
      </c>
      <c r="N157" s="52">
        <f>'D Máximos'!Q9</f>
        <v>64609</v>
      </c>
      <c r="O157" s="57" t="s">
        <v>103</v>
      </c>
    </row>
    <row r="158" spans="5:15" x14ac:dyDescent="0.3">
      <c r="E158" s="52" t="s">
        <v>321</v>
      </c>
      <c r="F158" s="60">
        <v>10.67</v>
      </c>
      <c r="G158" s="57" t="s">
        <v>577</v>
      </c>
      <c r="I158" s="60">
        <v>11</v>
      </c>
      <c r="J158" s="60"/>
      <c r="K158" s="57" t="s">
        <v>103</v>
      </c>
      <c r="M158" s="52" t="s">
        <v>326</v>
      </c>
      <c r="N158" s="60"/>
      <c r="O158" s="57" t="s">
        <v>324</v>
      </c>
    </row>
    <row r="159" spans="5:15" x14ac:dyDescent="0.3">
      <c r="E159" s="52" t="s">
        <v>322</v>
      </c>
      <c r="F159" s="60">
        <v>1.01</v>
      </c>
      <c r="M159" s="52" t="s">
        <v>327</v>
      </c>
      <c r="N159" s="60">
        <v>1.0249999999999999</v>
      </c>
    </row>
    <row r="161" spans="5:15" x14ac:dyDescent="0.3">
      <c r="E161" s="52" t="s">
        <v>339</v>
      </c>
      <c r="F161" s="56">
        <f ca="1">'D Máximos'!I13</f>
        <v>53080.9</v>
      </c>
      <c r="M161" s="52" t="s">
        <v>340</v>
      </c>
      <c r="N161" s="56">
        <f ca="1">'D Máximos'!Q13</f>
        <v>52467.700000000004</v>
      </c>
    </row>
    <row r="162" spans="5:15" x14ac:dyDescent="0.3">
      <c r="I162" s="54" t="s">
        <v>308</v>
      </c>
      <c r="J162" s="57" t="s">
        <v>578</v>
      </c>
    </row>
    <row r="163" spans="5:15" x14ac:dyDescent="0.3">
      <c r="E163" s="52" t="s">
        <v>564</v>
      </c>
      <c r="F163" s="56" cm="1">
        <f t="array" aca="1" ref="F163:F167" ca="1">'D Máximos'!I15:I19</f>
        <v>10.507975133214922</v>
      </c>
      <c r="I163" s="52" t="s">
        <v>289</v>
      </c>
      <c r="J163" s="56" cm="1">
        <f t="array" ref="J163:J167">'D Máximos'!M15:M19</f>
        <v>4529.7591962505576</v>
      </c>
      <c r="M163" s="52" t="s">
        <v>564</v>
      </c>
      <c r="N163" s="56" cm="1">
        <f t="array" aca="1" ref="N163:N167" ca="1">'D Máximos'!Q15:Q19</f>
        <v>10.398877005347597</v>
      </c>
    </row>
    <row r="164" spans="5:15" x14ac:dyDescent="0.3">
      <c r="E164" s="52" t="str">
        <f>IF(F159=1,"CH fw","CH bw")</f>
        <v>CH bw</v>
      </c>
      <c r="F164" s="56">
        <f ca="1"/>
        <v>10.64963003149456</v>
      </c>
      <c r="I164" s="52" t="s">
        <v>288</v>
      </c>
      <c r="J164" s="56">
        <v>12.582664434029327</v>
      </c>
      <c r="M164" s="52" t="str">
        <f>IF(N159=1,"CH fw","CH bw")</f>
        <v>CH bw</v>
      </c>
      <c r="N164" s="56">
        <f ca="1"/>
        <v>10.398877005347597</v>
      </c>
    </row>
    <row r="165" spans="5:15" x14ac:dyDescent="0.3">
      <c r="E165" s="52" t="s">
        <v>312</v>
      </c>
      <c r="F165" s="56">
        <f ca="1"/>
        <v>97.905258977953807</v>
      </c>
      <c r="I165" s="52" t="s">
        <v>332</v>
      </c>
      <c r="J165" s="56">
        <v>36</v>
      </c>
      <c r="M165" s="52" t="s">
        <v>312</v>
      </c>
      <c r="N165" s="56">
        <f ca="1"/>
        <v>98.080786096256688</v>
      </c>
    </row>
    <row r="166" spans="5:15" x14ac:dyDescent="0.3">
      <c r="E166" s="52" t="s">
        <v>313</v>
      </c>
      <c r="F166" s="56">
        <f ca="1"/>
        <v>91.085554952758159</v>
      </c>
      <c r="I166" s="52" t="s">
        <v>341</v>
      </c>
      <c r="J166" s="56">
        <v>453</v>
      </c>
      <c r="M166" s="52" t="s">
        <v>313</v>
      </c>
      <c r="N166" s="56">
        <f ca="1"/>
        <v>91.471796791443836</v>
      </c>
    </row>
    <row r="167" spans="5:15" x14ac:dyDescent="0.3">
      <c r="E167" s="52" t="str">
        <f>IF(F159=1.025,"Mu","Mu corr x d")</f>
        <v>Mu corr x d</v>
      </c>
      <c r="F167" s="56">
        <f ca="1"/>
        <v>750.8414894011612</v>
      </c>
      <c r="I167" s="52" t="s">
        <v>342</v>
      </c>
      <c r="J167" s="56">
        <v>613.20000000000005</v>
      </c>
      <c r="M167" s="52" t="str">
        <f>IF(N159=1.025,"Mu","Mu corr x d")</f>
        <v>Mu</v>
      </c>
      <c r="N167" s="56">
        <f ca="1"/>
        <v>756.77304812834223</v>
      </c>
    </row>
    <row r="170" spans="5:15" x14ac:dyDescent="0.3">
      <c r="E170" s="54" t="s">
        <v>467</v>
      </c>
    </row>
    <row r="172" spans="5:15" x14ac:dyDescent="0.3">
      <c r="E172" s="54" t="s">
        <v>11</v>
      </c>
      <c r="F172" s="52" t="s">
        <v>464</v>
      </c>
      <c r="G172" s="52" t="s">
        <v>465</v>
      </c>
      <c r="H172" s="52" t="s">
        <v>362</v>
      </c>
      <c r="I172" s="52" t="s">
        <v>466</v>
      </c>
      <c r="J172" s="52"/>
      <c r="K172" s="52"/>
      <c r="L172" s="52" t="s">
        <v>355</v>
      </c>
      <c r="M172" s="52"/>
      <c r="N172" s="52"/>
      <c r="O172" s="52" t="s">
        <v>469</v>
      </c>
    </row>
    <row r="173" spans="5:15" x14ac:dyDescent="0.3">
      <c r="E173" s="52" t="s">
        <v>6</v>
      </c>
      <c r="F173" s="52" t="str" cm="1">
        <f t="array" ref="F173:F177">'Carga y Reparto'!F9:F13</f>
        <v>Vacio</v>
      </c>
      <c r="G173" s="52" cm="1">
        <f t="array" ref="G173:G177">'Carga y Reparto'!G9:G13</f>
        <v>0</v>
      </c>
      <c r="H173" s="57" t="s">
        <v>357</v>
      </c>
      <c r="I173" s="60"/>
      <c r="J173" s="57"/>
      <c r="K173" s="57" t="s">
        <v>354</v>
      </c>
      <c r="L173" s="60">
        <v>42</v>
      </c>
      <c r="M173" s="57" t="s">
        <v>358</v>
      </c>
      <c r="N173" s="57" t="s">
        <v>356</v>
      </c>
      <c r="O173" s="56" cm="1">
        <f t="array" ref="O173:O177">'Carga y Reparto'!P9:P13</f>
        <v>10453.033452397769</v>
      </c>
    </row>
    <row r="174" spans="5:15" x14ac:dyDescent="0.3">
      <c r="E174" s="52" t="s">
        <v>7</v>
      </c>
      <c r="F174" s="52" t="str">
        <v>Vacio</v>
      </c>
      <c r="G174" s="52">
        <v>0</v>
      </c>
      <c r="H174" s="57"/>
      <c r="I174" s="60"/>
      <c r="J174" s="57"/>
      <c r="K174" s="57"/>
      <c r="L174" s="60"/>
      <c r="M174" s="57"/>
      <c r="N174" s="57"/>
      <c r="O174" s="56">
        <v>0</v>
      </c>
    </row>
    <row r="175" spans="5:15" x14ac:dyDescent="0.3">
      <c r="E175" s="52" t="s">
        <v>8</v>
      </c>
      <c r="F175" s="52" t="str">
        <v>Vacio</v>
      </c>
      <c r="G175" s="52">
        <v>0</v>
      </c>
      <c r="H175" s="57" t="s">
        <v>357</v>
      </c>
      <c r="I175" s="60"/>
      <c r="J175" s="57"/>
      <c r="K175" s="57" t="s">
        <v>354</v>
      </c>
      <c r="L175" s="60">
        <v>42</v>
      </c>
      <c r="M175" s="57" t="s">
        <v>358</v>
      </c>
      <c r="N175" s="57" t="s">
        <v>356</v>
      </c>
      <c r="O175" s="56">
        <v>11226.447776454837</v>
      </c>
    </row>
    <row r="176" spans="5:15" x14ac:dyDescent="0.3">
      <c r="E176" s="52" t="s">
        <v>9</v>
      </c>
      <c r="F176" s="52" t="str">
        <v>Vacio</v>
      </c>
      <c r="G176" s="52">
        <v>0</v>
      </c>
      <c r="H176" s="57"/>
      <c r="I176" s="60"/>
      <c r="J176" s="57"/>
      <c r="K176" s="57"/>
      <c r="L176" s="60"/>
      <c r="M176" s="57"/>
      <c r="N176" s="57"/>
      <c r="O176" s="56">
        <v>0</v>
      </c>
    </row>
    <row r="177" spans="5:15" x14ac:dyDescent="0.3">
      <c r="E177" s="52" t="s">
        <v>10</v>
      </c>
      <c r="F177" s="52" t="str">
        <v>Vacio</v>
      </c>
      <c r="G177" s="52">
        <v>0</v>
      </c>
      <c r="H177" s="57" t="s">
        <v>357</v>
      </c>
      <c r="I177" s="60"/>
      <c r="J177" s="57"/>
      <c r="K177" s="57" t="s">
        <v>354</v>
      </c>
      <c r="L177" s="60">
        <v>42</v>
      </c>
      <c r="M177" s="57" t="s">
        <v>358</v>
      </c>
      <c r="N177" s="57" t="s">
        <v>356</v>
      </c>
      <c r="O177" s="56">
        <v>11154.218715314913</v>
      </c>
    </row>
    <row r="179" spans="5:15" x14ac:dyDescent="0.3">
      <c r="E179" s="54" t="s">
        <v>46</v>
      </c>
      <c r="F179" s="52" t="s">
        <v>464</v>
      </c>
      <c r="G179" s="52" t="s">
        <v>465</v>
      </c>
      <c r="H179" s="52" t="s">
        <v>362</v>
      </c>
      <c r="I179" s="52" t="s">
        <v>352</v>
      </c>
      <c r="J179" s="52" t="s">
        <v>359</v>
      </c>
      <c r="K179" s="52">
        <f>'Carga y Reparto'!L16</f>
        <v>0.95</v>
      </c>
      <c r="L179" s="52"/>
      <c r="M179" s="52"/>
      <c r="N179" s="52" t="s">
        <v>469</v>
      </c>
    </row>
    <row r="180" spans="5:15" x14ac:dyDescent="0.3">
      <c r="E180" s="52" t="s">
        <v>47</v>
      </c>
      <c r="F180" s="52" t="str" cm="1">
        <f t="array" ref="F180:F188">'Carga y Reparto'!F17:F25</f>
        <v>Full</v>
      </c>
      <c r="G180" s="52" cm="1">
        <f t="array" ref="G180:G188">'Carga y Reparto'!G17:G25</f>
        <v>100</v>
      </c>
      <c r="H180" s="57" t="s">
        <v>365</v>
      </c>
      <c r="I180" s="60"/>
      <c r="J180" s="57" t="s">
        <v>364</v>
      </c>
      <c r="K180" s="60"/>
      <c r="L180" s="57"/>
      <c r="M180" s="57"/>
      <c r="N180" s="56" cm="1">
        <f t="array" ref="N180:N188">'Carga y Reparto'!O17:O25</f>
        <v>0</v>
      </c>
    </row>
    <row r="181" spans="5:15" x14ac:dyDescent="0.3">
      <c r="E181" s="52" t="s">
        <v>48</v>
      </c>
      <c r="F181" s="52" t="str">
        <v>Full</v>
      </c>
      <c r="G181" s="52">
        <v>100</v>
      </c>
      <c r="H181" s="57" t="s">
        <v>365</v>
      </c>
      <c r="I181" s="60"/>
      <c r="J181" s="57" t="s">
        <v>364</v>
      </c>
      <c r="K181" s="60"/>
      <c r="L181" s="57"/>
      <c r="M181" s="57"/>
      <c r="N181" s="56">
        <v>0</v>
      </c>
    </row>
    <row r="182" spans="5:15" x14ac:dyDescent="0.3">
      <c r="E182" s="52" t="s">
        <v>49</v>
      </c>
      <c r="F182" s="52" t="str">
        <v>Slack</v>
      </c>
      <c r="G182" s="52">
        <v>70</v>
      </c>
      <c r="H182" s="57" t="s">
        <v>351</v>
      </c>
      <c r="I182" s="60">
        <v>70</v>
      </c>
      <c r="J182" s="57" t="s">
        <v>364</v>
      </c>
      <c r="K182" s="60"/>
      <c r="L182" s="57"/>
      <c r="M182" s="57"/>
      <c r="N182" s="56">
        <v>354.57799999999997</v>
      </c>
    </row>
    <row r="183" spans="5:15" x14ac:dyDescent="0.3">
      <c r="E183" s="52" t="s">
        <v>50</v>
      </c>
      <c r="F183" s="52">
        <v>0</v>
      </c>
      <c r="G183" s="52">
        <v>0</v>
      </c>
      <c r="H183" s="57" t="s">
        <v>357</v>
      </c>
      <c r="I183" s="60"/>
      <c r="J183" s="57" t="s">
        <v>364</v>
      </c>
      <c r="K183" s="60"/>
      <c r="L183" s="57"/>
      <c r="M183" s="57"/>
      <c r="N183" s="56">
        <v>450.48999999999995</v>
      </c>
    </row>
    <row r="184" spans="5:15" x14ac:dyDescent="0.3">
      <c r="E184" s="52" t="s">
        <v>51</v>
      </c>
      <c r="F184" s="52" t="str">
        <v>Full</v>
      </c>
      <c r="G184" s="52">
        <v>100</v>
      </c>
      <c r="H184" s="57" t="s">
        <v>357</v>
      </c>
      <c r="I184" s="60"/>
      <c r="J184" s="57" t="s">
        <v>364</v>
      </c>
      <c r="K184" s="60"/>
      <c r="L184" s="57"/>
      <c r="M184" s="57"/>
      <c r="N184" s="56">
        <v>42.94</v>
      </c>
    </row>
    <row r="185" spans="5:15" x14ac:dyDescent="0.3">
      <c r="E185" s="52" t="s">
        <v>52</v>
      </c>
      <c r="F185" s="52">
        <v>0</v>
      </c>
      <c r="G185" s="52">
        <v>0</v>
      </c>
      <c r="H185" s="57" t="s">
        <v>365</v>
      </c>
      <c r="I185" s="60"/>
      <c r="J185" s="57" t="s">
        <v>364</v>
      </c>
      <c r="K185" s="60"/>
      <c r="L185" s="57"/>
      <c r="M185" s="57"/>
      <c r="N185" s="56">
        <v>0</v>
      </c>
    </row>
    <row r="186" spans="5:15" x14ac:dyDescent="0.3">
      <c r="E186" s="52" t="s">
        <v>53</v>
      </c>
      <c r="F186" s="52" t="str">
        <v>Full</v>
      </c>
      <c r="G186" s="52">
        <v>100</v>
      </c>
      <c r="H186" s="57" t="s">
        <v>357</v>
      </c>
      <c r="I186" s="60"/>
      <c r="J186" s="57" t="s">
        <v>364</v>
      </c>
      <c r="K186" s="60"/>
      <c r="L186" s="57"/>
      <c r="M186" s="57"/>
      <c r="N186" s="56">
        <v>42.94</v>
      </c>
    </row>
    <row r="187" spans="5:15" x14ac:dyDescent="0.3">
      <c r="E187" s="52" t="s">
        <v>54</v>
      </c>
      <c r="F187" s="52" t="str">
        <v>Slack</v>
      </c>
      <c r="G187" s="52">
        <v>20</v>
      </c>
      <c r="H187" s="57" t="s">
        <v>351</v>
      </c>
      <c r="I187" s="60">
        <v>20</v>
      </c>
      <c r="J187" s="57" t="s">
        <v>364</v>
      </c>
      <c r="K187" s="60"/>
      <c r="L187" s="57"/>
      <c r="M187" s="57"/>
      <c r="N187" s="56">
        <v>8.5879999999999992</v>
      </c>
    </row>
    <row r="188" spans="5:15" x14ac:dyDescent="0.3">
      <c r="E188" s="52" t="s">
        <v>55</v>
      </c>
      <c r="F188" s="52" t="str">
        <v>Slack</v>
      </c>
      <c r="G188" s="52">
        <v>12</v>
      </c>
      <c r="H188" s="57" t="s">
        <v>351</v>
      </c>
      <c r="I188" s="60">
        <v>12</v>
      </c>
      <c r="J188" s="57" t="s">
        <v>364</v>
      </c>
      <c r="K188" s="60"/>
      <c r="L188" s="57"/>
      <c r="M188" s="57"/>
      <c r="N188" s="56">
        <v>4.3890000000000002</v>
      </c>
    </row>
    <row r="190" spans="5:15" x14ac:dyDescent="0.3">
      <c r="E190" s="54" t="s">
        <v>57</v>
      </c>
      <c r="F190" s="52" t="s">
        <v>464</v>
      </c>
      <c r="G190" s="52" t="s">
        <v>465</v>
      </c>
      <c r="H190" s="52" t="s">
        <v>362</v>
      </c>
      <c r="I190" s="52" t="s">
        <v>352</v>
      </c>
      <c r="J190" s="52" t="s">
        <v>359</v>
      </c>
      <c r="K190" s="52">
        <f>'Carga y Reparto'!L28</f>
        <v>0.85</v>
      </c>
      <c r="L190" s="52"/>
      <c r="M190" s="52"/>
      <c r="N190" s="52" t="s">
        <v>469</v>
      </c>
    </row>
    <row r="191" spans="5:15" x14ac:dyDescent="0.3">
      <c r="E191" s="52" t="s">
        <v>58</v>
      </c>
      <c r="F191" s="52" cm="1">
        <f t="array" ref="F191:F194">'Carga y Reparto'!F29:F32</f>
        <v>0</v>
      </c>
      <c r="G191" s="52" cm="1">
        <f t="array" ref="G191:G194">'Carga y Reparto'!G29:G32</f>
        <v>0</v>
      </c>
      <c r="H191" s="57" t="s">
        <v>357</v>
      </c>
      <c r="I191" s="60"/>
      <c r="J191" s="57" t="s">
        <v>364</v>
      </c>
      <c r="K191" s="60"/>
      <c r="L191" s="57"/>
      <c r="M191" s="57"/>
      <c r="N191" s="56" cm="1">
        <f t="array" ref="N191:N194">'Carga y Reparto'!O29:O32</f>
        <v>141.52500000000001</v>
      </c>
    </row>
    <row r="192" spans="5:15" x14ac:dyDescent="0.3">
      <c r="E192" s="52" t="s">
        <v>59</v>
      </c>
      <c r="F192" s="52" t="str">
        <v>Slack</v>
      </c>
      <c r="G192" s="52">
        <v>80</v>
      </c>
      <c r="H192" s="57" t="s">
        <v>351</v>
      </c>
      <c r="I192" s="60">
        <v>65</v>
      </c>
      <c r="J192" s="57" t="s">
        <v>364</v>
      </c>
      <c r="K192" s="60"/>
      <c r="L192" s="57"/>
      <c r="M192" s="57"/>
      <c r="N192" s="56">
        <v>12.486499999999999</v>
      </c>
    </row>
    <row r="193" spans="5:14" x14ac:dyDescent="0.3">
      <c r="E193" s="52" t="s">
        <v>60</v>
      </c>
      <c r="F193" s="52">
        <v>0</v>
      </c>
      <c r="G193" s="52">
        <v>0</v>
      </c>
      <c r="H193" s="57" t="s">
        <v>357</v>
      </c>
      <c r="I193" s="60"/>
      <c r="J193" s="57" t="s">
        <v>522</v>
      </c>
      <c r="K193" s="60">
        <v>0.87</v>
      </c>
      <c r="L193" s="57" t="s">
        <v>356</v>
      </c>
      <c r="M193" s="57" t="s">
        <v>353</v>
      </c>
      <c r="N193" s="56">
        <v>19.662000000000003</v>
      </c>
    </row>
    <row r="194" spans="5:14" x14ac:dyDescent="0.3">
      <c r="E194" s="52" t="s">
        <v>61</v>
      </c>
      <c r="F194" s="52" t="str">
        <v>Slack</v>
      </c>
      <c r="G194" s="52">
        <v>18</v>
      </c>
      <c r="H194" s="57" t="s">
        <v>351</v>
      </c>
      <c r="I194" s="60">
        <v>18</v>
      </c>
      <c r="J194" s="57" t="s">
        <v>364</v>
      </c>
      <c r="K194" s="60"/>
      <c r="L194" s="57"/>
      <c r="M194" s="57"/>
      <c r="N194" s="56">
        <v>3.4578000000000002</v>
      </c>
    </row>
    <row r="196" spans="5:14" x14ac:dyDescent="0.3">
      <c r="E196" s="54" t="s">
        <v>19</v>
      </c>
      <c r="F196" s="52" t="s">
        <v>464</v>
      </c>
      <c r="G196" s="52" t="s">
        <v>465</v>
      </c>
      <c r="H196" s="52" t="s">
        <v>362</v>
      </c>
      <c r="I196" s="52" t="s">
        <v>352</v>
      </c>
      <c r="J196" s="52" t="s">
        <v>359</v>
      </c>
      <c r="K196" s="52">
        <f>'Carga y Reparto'!L35</f>
        <v>1.0249999999999999</v>
      </c>
      <c r="L196" s="52"/>
      <c r="M196" s="52"/>
      <c r="N196" s="52" t="s">
        <v>469</v>
      </c>
    </row>
    <row r="197" spans="5:14" x14ac:dyDescent="0.3">
      <c r="E197" s="52" t="s">
        <v>20</v>
      </c>
      <c r="F197" s="52" t="str" cm="1">
        <f t="array" ref="F197:F221">'Carga y Reparto'!F36:F60</f>
        <v>Full</v>
      </c>
      <c r="G197" s="52" cm="1">
        <f t="array" ref="G197:G221">'Carga y Reparto'!G36:G60</f>
        <v>100</v>
      </c>
      <c r="H197" s="57" t="s">
        <v>365</v>
      </c>
      <c r="I197" s="60"/>
      <c r="J197" s="57"/>
      <c r="K197" s="60"/>
      <c r="L197" s="57"/>
      <c r="M197" s="57"/>
      <c r="N197" s="56" cm="1">
        <f t="array" ref="N197:N221">'Carga y Reparto'!O36:O60</f>
        <v>0</v>
      </c>
    </row>
    <row r="198" spans="5:14" x14ac:dyDescent="0.3">
      <c r="E198" s="52" t="s">
        <v>21</v>
      </c>
      <c r="F198" s="52" t="str">
        <v>Full</v>
      </c>
      <c r="G198" s="52">
        <v>100</v>
      </c>
      <c r="H198" s="57" t="s">
        <v>365</v>
      </c>
      <c r="I198" s="60"/>
      <c r="J198" s="57"/>
      <c r="K198" s="60"/>
      <c r="L198" s="57"/>
      <c r="M198" s="57"/>
      <c r="N198" s="56">
        <v>0</v>
      </c>
    </row>
    <row r="199" spans="5:14" x14ac:dyDescent="0.3">
      <c r="E199" s="52" t="s">
        <v>25</v>
      </c>
      <c r="F199" s="52" t="str">
        <v>Full</v>
      </c>
      <c r="G199" s="52">
        <v>100</v>
      </c>
      <c r="H199" s="57" t="s">
        <v>365</v>
      </c>
      <c r="I199" s="60"/>
      <c r="J199" s="57"/>
      <c r="K199" s="60"/>
      <c r="L199" s="57"/>
      <c r="M199" s="57"/>
      <c r="N199" s="56">
        <v>0</v>
      </c>
    </row>
    <row r="200" spans="5:14" x14ac:dyDescent="0.3">
      <c r="E200" s="52" t="s">
        <v>23</v>
      </c>
      <c r="F200" s="52" t="str">
        <v>Full</v>
      </c>
      <c r="G200" s="52">
        <v>100</v>
      </c>
      <c r="H200" s="57" t="s">
        <v>365</v>
      </c>
      <c r="I200" s="60"/>
      <c r="J200" s="57"/>
      <c r="K200" s="60"/>
      <c r="L200" s="57"/>
      <c r="M200" s="57"/>
      <c r="N200" s="56">
        <v>0</v>
      </c>
    </row>
    <row r="201" spans="5:14" x14ac:dyDescent="0.3">
      <c r="E201" s="52" t="s">
        <v>26</v>
      </c>
      <c r="F201" s="52" t="str">
        <v>Full</v>
      </c>
      <c r="G201" s="52">
        <v>100</v>
      </c>
      <c r="H201" s="57" t="s">
        <v>365</v>
      </c>
      <c r="I201" s="60"/>
      <c r="J201" s="57"/>
      <c r="K201" s="60"/>
      <c r="L201" s="57"/>
      <c r="M201" s="57"/>
      <c r="N201" s="56">
        <v>0</v>
      </c>
    </row>
    <row r="202" spans="5:14" x14ac:dyDescent="0.3">
      <c r="E202" s="52" t="s">
        <v>22</v>
      </c>
      <c r="F202" s="52" t="str">
        <v>Full</v>
      </c>
      <c r="G202" s="52">
        <v>100</v>
      </c>
      <c r="H202" s="57" t="s">
        <v>365</v>
      </c>
      <c r="I202" s="60"/>
      <c r="J202" s="57"/>
      <c r="K202" s="60"/>
      <c r="L202" s="57"/>
      <c r="M202" s="57"/>
      <c r="N202" s="56">
        <v>0</v>
      </c>
    </row>
    <row r="203" spans="5:14" x14ac:dyDescent="0.3">
      <c r="E203" s="52" t="s">
        <v>31</v>
      </c>
      <c r="F203" s="52" t="str">
        <v>Full</v>
      </c>
      <c r="G203" s="52">
        <v>100</v>
      </c>
      <c r="H203" s="57" t="s">
        <v>365</v>
      </c>
      <c r="I203" s="60"/>
      <c r="J203" s="57"/>
      <c r="K203" s="60"/>
      <c r="L203" s="57"/>
      <c r="M203" s="57"/>
      <c r="N203" s="56">
        <v>0</v>
      </c>
    </row>
    <row r="204" spans="5:14" x14ac:dyDescent="0.3">
      <c r="E204" s="52" t="s">
        <v>24</v>
      </c>
      <c r="F204" s="52" t="str">
        <v>Full</v>
      </c>
      <c r="G204" s="52">
        <v>100</v>
      </c>
      <c r="H204" s="57" t="s">
        <v>351</v>
      </c>
      <c r="I204" s="60">
        <v>24.4</v>
      </c>
      <c r="J204" s="57" t="s">
        <v>522</v>
      </c>
      <c r="K204" s="60">
        <v>1.01</v>
      </c>
      <c r="L204" s="57" t="s">
        <v>356</v>
      </c>
      <c r="M204" s="57" t="s">
        <v>353</v>
      </c>
      <c r="N204" s="56">
        <v>248.53474</v>
      </c>
    </row>
    <row r="205" spans="5:14" x14ac:dyDescent="0.3">
      <c r="E205" s="52" t="s">
        <v>32</v>
      </c>
      <c r="F205" s="52" t="str">
        <v>Full</v>
      </c>
      <c r="G205" s="52">
        <v>100</v>
      </c>
      <c r="H205" s="57" t="s">
        <v>365</v>
      </c>
      <c r="I205" s="60"/>
      <c r="J205" s="57"/>
      <c r="K205" s="60"/>
      <c r="L205" s="57"/>
      <c r="M205" s="57"/>
      <c r="N205" s="56">
        <v>0</v>
      </c>
    </row>
    <row r="206" spans="5:14" x14ac:dyDescent="0.3">
      <c r="E206" s="52" t="s">
        <v>33</v>
      </c>
      <c r="F206" s="52" t="str">
        <v>Full</v>
      </c>
      <c r="G206" s="52">
        <v>100</v>
      </c>
      <c r="H206" s="57" t="s">
        <v>365</v>
      </c>
      <c r="I206" s="60"/>
      <c r="J206" s="57"/>
      <c r="K206" s="60"/>
      <c r="L206" s="57"/>
      <c r="M206" s="57"/>
      <c r="N206" s="56">
        <v>0</v>
      </c>
    </row>
    <row r="207" spans="5:14" x14ac:dyDescent="0.3">
      <c r="E207" s="52" t="s">
        <v>34</v>
      </c>
      <c r="F207" s="52" t="str">
        <v>Full</v>
      </c>
      <c r="G207" s="52">
        <v>100</v>
      </c>
      <c r="H207" s="57" t="s">
        <v>365</v>
      </c>
      <c r="I207" s="60"/>
      <c r="J207" s="57"/>
      <c r="K207" s="60"/>
      <c r="L207" s="57"/>
      <c r="M207" s="57"/>
      <c r="N207" s="56">
        <v>0</v>
      </c>
    </row>
    <row r="208" spans="5:14" x14ac:dyDescent="0.3">
      <c r="E208" s="52" t="s">
        <v>35</v>
      </c>
      <c r="F208" s="52" t="str">
        <v>Full</v>
      </c>
      <c r="G208" s="52">
        <v>100</v>
      </c>
      <c r="H208" s="57" t="s">
        <v>365</v>
      </c>
      <c r="I208" s="60"/>
      <c r="J208" s="57"/>
      <c r="K208" s="60"/>
      <c r="L208" s="57"/>
      <c r="M208" s="57"/>
      <c r="N208" s="56">
        <v>0</v>
      </c>
    </row>
    <row r="209" spans="5:14" x14ac:dyDescent="0.3">
      <c r="E209" s="52" t="s">
        <v>36</v>
      </c>
      <c r="F209" s="52" t="str">
        <v>Full</v>
      </c>
      <c r="G209" s="52">
        <v>100</v>
      </c>
      <c r="H209" s="57" t="s">
        <v>365</v>
      </c>
      <c r="I209" s="60"/>
      <c r="J209" s="57"/>
      <c r="K209" s="60"/>
      <c r="L209" s="57"/>
      <c r="M209" s="57"/>
      <c r="N209" s="56">
        <v>0</v>
      </c>
    </row>
    <row r="210" spans="5:14" x14ac:dyDescent="0.3">
      <c r="E210" s="52" t="s">
        <v>37</v>
      </c>
      <c r="F210" s="52" t="str">
        <v>Full</v>
      </c>
      <c r="G210" s="52">
        <v>100</v>
      </c>
      <c r="H210" s="57" t="s">
        <v>365</v>
      </c>
      <c r="I210" s="60"/>
      <c r="J210" s="57"/>
      <c r="K210" s="60"/>
      <c r="L210" s="57"/>
      <c r="M210" s="57"/>
      <c r="N210" s="56">
        <v>0</v>
      </c>
    </row>
    <row r="211" spans="5:14" x14ac:dyDescent="0.3">
      <c r="E211" s="52" t="s">
        <v>38</v>
      </c>
      <c r="F211" s="52" t="str">
        <v>Full</v>
      </c>
      <c r="G211" s="52">
        <v>100</v>
      </c>
      <c r="H211" s="57" t="s">
        <v>365</v>
      </c>
      <c r="I211" s="60"/>
      <c r="J211" s="57"/>
      <c r="K211" s="60"/>
      <c r="L211" s="57"/>
      <c r="M211" s="57"/>
      <c r="N211" s="56">
        <v>0</v>
      </c>
    </row>
    <row r="212" spans="5:14" x14ac:dyDescent="0.3">
      <c r="E212" s="52" t="s">
        <v>39</v>
      </c>
      <c r="F212" s="52">
        <v>0</v>
      </c>
      <c r="G212" s="52">
        <v>0</v>
      </c>
      <c r="H212" s="57" t="s">
        <v>365</v>
      </c>
      <c r="I212" s="60"/>
      <c r="J212" s="57"/>
      <c r="K212" s="60"/>
      <c r="L212" s="57"/>
      <c r="M212" s="57"/>
      <c r="N212" s="56">
        <v>0</v>
      </c>
    </row>
    <row r="213" spans="5:14" x14ac:dyDescent="0.3">
      <c r="E213" s="52" t="s">
        <v>40</v>
      </c>
      <c r="F213" s="52" t="str">
        <v>Slack</v>
      </c>
      <c r="G213" s="52">
        <v>21</v>
      </c>
      <c r="H213" s="57" t="s">
        <v>365</v>
      </c>
      <c r="I213" s="60"/>
      <c r="J213" s="57"/>
      <c r="K213" s="60"/>
      <c r="L213" s="57"/>
      <c r="M213" s="57"/>
      <c r="N213" s="56">
        <v>0</v>
      </c>
    </row>
    <row r="214" spans="5:14" x14ac:dyDescent="0.3">
      <c r="E214" s="52" t="s">
        <v>41</v>
      </c>
      <c r="F214" s="52" t="str">
        <v>Full</v>
      </c>
      <c r="G214" s="52">
        <v>100</v>
      </c>
      <c r="H214" s="57" t="s">
        <v>365</v>
      </c>
      <c r="I214" s="60"/>
      <c r="J214" s="57"/>
      <c r="K214" s="60"/>
      <c r="L214" s="57"/>
      <c r="M214" s="57"/>
      <c r="N214" s="56">
        <v>0</v>
      </c>
    </row>
    <row r="215" spans="5:14" x14ac:dyDescent="0.3">
      <c r="E215" s="52" t="s">
        <v>42</v>
      </c>
      <c r="F215" s="52" t="str">
        <v>Full</v>
      </c>
      <c r="G215" s="52">
        <v>100</v>
      </c>
      <c r="H215" s="57" t="s">
        <v>365</v>
      </c>
      <c r="I215" s="60"/>
      <c r="J215" s="57"/>
      <c r="K215" s="60"/>
      <c r="L215" s="57"/>
      <c r="M215" s="57"/>
      <c r="N215" s="56">
        <v>0</v>
      </c>
    </row>
    <row r="216" spans="5:14" x14ac:dyDescent="0.3">
      <c r="E216" s="52" t="s">
        <v>43</v>
      </c>
      <c r="F216" s="52" t="str">
        <v>Full</v>
      </c>
      <c r="G216" s="52">
        <v>100</v>
      </c>
      <c r="H216" s="57" t="s">
        <v>365</v>
      </c>
      <c r="I216" s="60"/>
      <c r="J216" s="57"/>
      <c r="K216" s="60"/>
      <c r="L216" s="57"/>
      <c r="M216" s="57"/>
      <c r="N216" s="56">
        <v>0</v>
      </c>
    </row>
    <row r="217" spans="5:14" x14ac:dyDescent="0.3">
      <c r="E217" s="52" t="s">
        <v>44</v>
      </c>
      <c r="F217" s="52" t="str">
        <v>Full</v>
      </c>
      <c r="G217" s="52">
        <v>100</v>
      </c>
      <c r="H217" s="57" t="s">
        <v>365</v>
      </c>
      <c r="I217" s="60"/>
      <c r="J217" s="57"/>
      <c r="K217" s="60"/>
      <c r="L217" s="57"/>
      <c r="M217" s="57"/>
      <c r="N217" s="56">
        <v>0</v>
      </c>
    </row>
    <row r="218" spans="5:14" x14ac:dyDescent="0.3">
      <c r="E218" s="52" t="s">
        <v>30</v>
      </c>
      <c r="F218" s="52">
        <v>0</v>
      </c>
      <c r="G218" s="52">
        <v>0</v>
      </c>
      <c r="H218" s="57" t="s">
        <v>365</v>
      </c>
      <c r="I218" s="60"/>
      <c r="J218" s="57"/>
      <c r="K218" s="60"/>
      <c r="L218" s="57"/>
      <c r="M218" s="57"/>
      <c r="N218" s="56">
        <v>0</v>
      </c>
    </row>
    <row r="219" spans="5:14" x14ac:dyDescent="0.3">
      <c r="E219" s="52" t="s">
        <v>29</v>
      </c>
      <c r="F219" s="52">
        <v>0</v>
      </c>
      <c r="G219" s="52">
        <v>0</v>
      </c>
      <c r="H219" s="57" t="s">
        <v>365</v>
      </c>
      <c r="I219" s="60"/>
      <c r="J219" s="57"/>
      <c r="K219" s="60"/>
      <c r="L219" s="57"/>
      <c r="M219" s="57"/>
      <c r="N219" s="56">
        <v>0</v>
      </c>
    </row>
    <row r="220" spans="5:14" x14ac:dyDescent="0.3">
      <c r="E220" s="52" t="s">
        <v>28</v>
      </c>
      <c r="F220" s="52">
        <v>0</v>
      </c>
      <c r="G220" s="52">
        <v>0</v>
      </c>
      <c r="H220" s="57" t="s">
        <v>365</v>
      </c>
      <c r="I220" s="60"/>
      <c r="J220" s="57"/>
      <c r="K220" s="60"/>
      <c r="L220" s="57"/>
      <c r="M220" s="57"/>
      <c r="N220" s="56">
        <v>0</v>
      </c>
    </row>
    <row r="221" spans="5:14" x14ac:dyDescent="0.3">
      <c r="E221" s="52" t="s">
        <v>27</v>
      </c>
      <c r="F221" s="52">
        <v>0</v>
      </c>
      <c r="G221" s="52">
        <v>0</v>
      </c>
      <c r="H221" s="57" t="s">
        <v>365</v>
      </c>
      <c r="I221" s="60"/>
      <c r="J221" s="57"/>
      <c r="K221" s="60"/>
      <c r="L221" s="57"/>
      <c r="M221" s="57"/>
      <c r="N221" s="56">
        <v>0</v>
      </c>
    </row>
    <row r="223" spans="5:14" x14ac:dyDescent="0.3">
      <c r="E223" s="54" t="s">
        <v>63</v>
      </c>
      <c r="F223" s="52" t="s">
        <v>464</v>
      </c>
      <c r="G223" s="52" t="s">
        <v>465</v>
      </c>
      <c r="H223" s="52" t="s">
        <v>362</v>
      </c>
      <c r="I223" s="52" t="s">
        <v>352</v>
      </c>
      <c r="J223" s="52" t="s">
        <v>359</v>
      </c>
      <c r="K223" s="52">
        <f>'Carga y Reparto'!L62</f>
        <v>0.9</v>
      </c>
      <c r="L223" s="52"/>
      <c r="M223" s="52"/>
      <c r="N223" s="52" t="s">
        <v>469</v>
      </c>
    </row>
    <row r="224" spans="5:14" x14ac:dyDescent="0.3">
      <c r="E224" s="52" t="s">
        <v>65</v>
      </c>
      <c r="F224" s="52" cm="1">
        <f t="array" ref="F224:F233">'Carga y Reparto'!F63:F72</f>
        <v>0</v>
      </c>
      <c r="G224" s="52" cm="1">
        <f t="array" ref="G224:G233">'Carga y Reparto'!G63:G72</f>
        <v>0</v>
      </c>
      <c r="H224" s="57" t="s">
        <v>357</v>
      </c>
      <c r="I224" s="60"/>
      <c r="J224" s="57" t="s">
        <v>522</v>
      </c>
      <c r="K224" s="60">
        <v>1</v>
      </c>
      <c r="L224" s="57" t="s">
        <v>356</v>
      </c>
      <c r="M224" s="57" t="s">
        <v>353</v>
      </c>
      <c r="N224" s="56" cm="1">
        <f t="array" ref="N224:N233">'Carga y Reparto'!O63:O72</f>
        <v>17.100000000000001</v>
      </c>
    </row>
    <row r="225" spans="5:14" x14ac:dyDescent="0.3">
      <c r="E225" s="52" t="s">
        <v>66</v>
      </c>
      <c r="F225" s="52" t="str">
        <v>Full</v>
      </c>
      <c r="G225" s="52">
        <v>100</v>
      </c>
      <c r="H225" s="57" t="s">
        <v>357</v>
      </c>
      <c r="I225" s="60"/>
      <c r="J225" s="57" t="s">
        <v>364</v>
      </c>
      <c r="K225" s="60"/>
      <c r="L225" s="57"/>
      <c r="M225" s="57"/>
      <c r="N225" s="56">
        <v>16.829999999999998</v>
      </c>
    </row>
    <row r="226" spans="5:14" x14ac:dyDescent="0.3">
      <c r="E226" s="52" t="s">
        <v>67</v>
      </c>
      <c r="F226" s="52" t="str">
        <v>Slack</v>
      </c>
      <c r="G226" s="52">
        <v>70</v>
      </c>
      <c r="H226" s="57" t="s">
        <v>357</v>
      </c>
      <c r="I226" s="60"/>
      <c r="J226" s="57" t="s">
        <v>364</v>
      </c>
      <c r="K226" s="60"/>
      <c r="L226" s="57"/>
      <c r="M226" s="57"/>
      <c r="N226" s="56">
        <v>18.18</v>
      </c>
    </row>
    <row r="227" spans="5:14" x14ac:dyDescent="0.3">
      <c r="E227" s="52" t="s">
        <v>68</v>
      </c>
      <c r="F227" s="52" t="str">
        <v>Slack</v>
      </c>
      <c r="G227" s="52">
        <v>60</v>
      </c>
      <c r="H227" s="57" t="s">
        <v>357</v>
      </c>
      <c r="I227" s="60"/>
      <c r="J227" s="57" t="s">
        <v>364</v>
      </c>
      <c r="K227" s="60"/>
      <c r="L227" s="57"/>
      <c r="M227" s="57"/>
      <c r="N227" s="56">
        <v>39.96</v>
      </c>
    </row>
    <row r="228" spans="5:14" x14ac:dyDescent="0.3">
      <c r="E228" s="52" t="s">
        <v>69</v>
      </c>
      <c r="F228" s="52">
        <v>0</v>
      </c>
      <c r="G228" s="52">
        <v>0</v>
      </c>
      <c r="H228" s="57"/>
      <c r="I228" s="60"/>
      <c r="J228" s="57" t="s">
        <v>364</v>
      </c>
      <c r="K228" s="60"/>
      <c r="L228" s="57"/>
      <c r="M228" s="57"/>
      <c r="N228" s="56">
        <v>0</v>
      </c>
    </row>
    <row r="229" spans="5:14" x14ac:dyDescent="0.3">
      <c r="E229" s="52" t="s">
        <v>70</v>
      </c>
      <c r="F229" s="52">
        <v>0</v>
      </c>
      <c r="G229" s="52">
        <v>0</v>
      </c>
      <c r="H229" s="57"/>
      <c r="I229" s="60"/>
      <c r="J229" s="57" t="s">
        <v>364</v>
      </c>
      <c r="K229" s="60"/>
      <c r="L229" s="57"/>
      <c r="M229" s="57"/>
      <c r="N229" s="56">
        <v>0</v>
      </c>
    </row>
    <row r="230" spans="5:14" x14ac:dyDescent="0.3">
      <c r="E230" s="52" t="s">
        <v>71</v>
      </c>
      <c r="F230" s="52">
        <v>0</v>
      </c>
      <c r="G230" s="52">
        <v>0</v>
      </c>
      <c r="H230" s="57"/>
      <c r="I230" s="60"/>
      <c r="J230" s="57" t="s">
        <v>364</v>
      </c>
      <c r="K230" s="60"/>
      <c r="L230" s="57"/>
      <c r="M230" s="57"/>
      <c r="N230" s="56">
        <v>0</v>
      </c>
    </row>
    <row r="231" spans="5:14" x14ac:dyDescent="0.3">
      <c r="E231" s="52" t="s">
        <v>72</v>
      </c>
      <c r="F231" s="52" t="str">
        <v>Slack</v>
      </c>
      <c r="G231" s="52">
        <v>40</v>
      </c>
      <c r="H231" s="57" t="s">
        <v>351</v>
      </c>
      <c r="I231" s="60">
        <v>60</v>
      </c>
      <c r="J231" s="57" t="s">
        <v>364</v>
      </c>
      <c r="K231" s="60"/>
      <c r="L231" s="57"/>
      <c r="M231" s="57"/>
      <c r="N231" s="56">
        <v>1.08</v>
      </c>
    </row>
    <row r="232" spans="5:14" x14ac:dyDescent="0.3">
      <c r="E232" s="52" t="s">
        <v>73</v>
      </c>
      <c r="F232" s="52" t="str">
        <v>Full</v>
      </c>
      <c r="G232" s="52">
        <v>100</v>
      </c>
      <c r="H232" s="57" t="s">
        <v>357</v>
      </c>
      <c r="I232" s="60"/>
      <c r="J232" s="57" t="s">
        <v>364</v>
      </c>
      <c r="K232" s="60"/>
      <c r="L232" s="57"/>
      <c r="M232" s="57"/>
      <c r="N232" s="56">
        <v>0.72000000000000008</v>
      </c>
    </row>
    <row r="233" spans="5:14" x14ac:dyDescent="0.3">
      <c r="E233" s="52" t="s">
        <v>74</v>
      </c>
      <c r="F233" s="52" t="str">
        <v>Full</v>
      </c>
      <c r="G233" s="52">
        <v>100</v>
      </c>
      <c r="H233" s="57" t="s">
        <v>357</v>
      </c>
      <c r="I233" s="60"/>
      <c r="J233" s="57" t="s">
        <v>364</v>
      </c>
      <c r="K233" s="60"/>
      <c r="L233" s="57"/>
      <c r="M233" s="57"/>
      <c r="N233" s="56">
        <v>0.72000000000000008</v>
      </c>
    </row>
    <row r="235" spans="5:14" x14ac:dyDescent="0.3">
      <c r="E235" s="54" t="s">
        <v>75</v>
      </c>
      <c r="F235" s="52" t="s">
        <v>464</v>
      </c>
      <c r="G235" s="52" t="s">
        <v>465</v>
      </c>
      <c r="H235" s="52" t="s">
        <v>362</v>
      </c>
      <c r="I235" s="52" t="s">
        <v>352</v>
      </c>
      <c r="J235" s="52" t="s">
        <v>359</v>
      </c>
      <c r="K235" s="52">
        <f>'Carga y Reparto'!L75</f>
        <v>1</v>
      </c>
      <c r="L235" s="52"/>
      <c r="M235" s="52"/>
      <c r="N235" s="52" t="s">
        <v>469</v>
      </c>
    </row>
    <row r="236" spans="5:14" x14ac:dyDescent="0.3">
      <c r="E236" s="52" t="s">
        <v>76</v>
      </c>
      <c r="F236" s="52" t="str" cm="1">
        <f t="array" ref="F236:F237">'Carga y Reparto'!F76:F77</f>
        <v>Slack</v>
      </c>
      <c r="G236" s="52" cm="1">
        <f t="array" ref="G236:G237">'Carga y Reparto'!G76:G77</f>
        <v>60</v>
      </c>
      <c r="H236" s="57" t="s">
        <v>357</v>
      </c>
      <c r="I236" s="60"/>
      <c r="J236" s="57" t="s">
        <v>364</v>
      </c>
      <c r="K236" s="60"/>
      <c r="L236" s="57"/>
      <c r="M236" s="57"/>
      <c r="N236" s="56" cm="1">
        <f t="array" ref="N236:N237">'Carga y Reparto'!O76:O77</f>
        <v>119.5</v>
      </c>
    </row>
    <row r="237" spans="5:14" x14ac:dyDescent="0.3">
      <c r="E237" s="52" t="s">
        <v>77</v>
      </c>
      <c r="F237" s="52">
        <v>0</v>
      </c>
      <c r="G237" s="52">
        <v>0</v>
      </c>
      <c r="H237" s="57"/>
      <c r="I237" s="60"/>
      <c r="J237" s="57" t="s">
        <v>364</v>
      </c>
      <c r="K237" s="60"/>
      <c r="L237" s="57"/>
      <c r="M237" s="57"/>
      <c r="N237" s="56">
        <v>0</v>
      </c>
    </row>
    <row r="239" spans="5:14" x14ac:dyDescent="0.3">
      <c r="E239" s="54" t="s">
        <v>79</v>
      </c>
      <c r="F239" s="52" t="s">
        <v>464</v>
      </c>
      <c r="G239" s="52" t="s">
        <v>465</v>
      </c>
      <c r="H239" s="52" t="s">
        <v>362</v>
      </c>
      <c r="I239" s="52" t="s">
        <v>352</v>
      </c>
      <c r="J239" s="52" t="s">
        <v>359</v>
      </c>
      <c r="K239" s="52">
        <f>'Carga y Reparto'!L80</f>
        <v>0.9</v>
      </c>
      <c r="L239" s="52"/>
      <c r="M239" s="52"/>
      <c r="N239" s="52" t="s">
        <v>469</v>
      </c>
    </row>
    <row r="240" spans="5:14" x14ac:dyDescent="0.3">
      <c r="E240" s="52" t="s">
        <v>80</v>
      </c>
      <c r="F240" s="52" t="str" cm="1">
        <f t="array" ref="F240:F242">'Carga y Reparto'!F81:F83</f>
        <v>Slack</v>
      </c>
      <c r="G240" s="52" cm="1">
        <f t="array" ref="G240:G242">'Carga y Reparto'!G81:G83</f>
        <v>20</v>
      </c>
      <c r="H240" s="57" t="s">
        <v>365</v>
      </c>
      <c r="I240" s="60"/>
      <c r="J240" s="57" t="s">
        <v>364</v>
      </c>
      <c r="K240" s="60"/>
      <c r="L240" s="57"/>
      <c r="M240" s="57"/>
      <c r="N240" s="56" cm="1">
        <f t="array" ref="N240:N242">'Carga y Reparto'!O81:O83</f>
        <v>0</v>
      </c>
    </row>
    <row r="241" spans="5:16" x14ac:dyDescent="0.3">
      <c r="E241" s="52" t="s">
        <v>81</v>
      </c>
      <c r="F241" s="52" t="str">
        <v>Slack</v>
      </c>
      <c r="G241" s="52">
        <v>30</v>
      </c>
      <c r="H241" s="57" t="s">
        <v>365</v>
      </c>
      <c r="I241" s="60"/>
      <c r="J241" s="57" t="s">
        <v>364</v>
      </c>
      <c r="K241" s="60"/>
      <c r="L241" s="57"/>
      <c r="M241" s="57"/>
      <c r="N241" s="56">
        <v>0</v>
      </c>
    </row>
    <row r="242" spans="5:16" x14ac:dyDescent="0.3">
      <c r="E242" s="52" t="s">
        <v>82</v>
      </c>
      <c r="F242" s="52" t="str">
        <v>Slack</v>
      </c>
      <c r="G242" s="52">
        <v>27</v>
      </c>
      <c r="H242" s="57" t="s">
        <v>365</v>
      </c>
      <c r="I242" s="60"/>
      <c r="J242" s="57" t="s">
        <v>364</v>
      </c>
      <c r="K242" s="60"/>
      <c r="L242" s="57"/>
      <c r="M242" s="57"/>
      <c r="N242" s="56">
        <v>0</v>
      </c>
    </row>
    <row r="244" spans="5:16" x14ac:dyDescent="0.3">
      <c r="E244" s="54" t="s">
        <v>84</v>
      </c>
      <c r="F244" s="52" t="s">
        <v>464</v>
      </c>
      <c r="G244" s="52" t="s">
        <v>465</v>
      </c>
      <c r="H244" s="52" t="s">
        <v>362</v>
      </c>
      <c r="I244" s="52" t="s">
        <v>352</v>
      </c>
      <c r="J244" s="52" t="s">
        <v>359</v>
      </c>
      <c r="K244" s="52">
        <f>'Carga y Reparto'!L86</f>
        <v>1</v>
      </c>
      <c r="L244" s="52"/>
      <c r="M244" s="52"/>
      <c r="N244" s="52" t="s">
        <v>469</v>
      </c>
    </row>
    <row r="245" spans="5:16" x14ac:dyDescent="0.3">
      <c r="E245" s="52" t="s">
        <v>85</v>
      </c>
      <c r="F245" s="52" cm="1">
        <f t="array" ref="F245:F249">'Carga y Reparto'!F87:F91</f>
        <v>0</v>
      </c>
      <c r="G245" s="52" cm="1">
        <f t="array" ref="G245:G249">'Carga y Reparto'!G87:G91</f>
        <v>0</v>
      </c>
      <c r="H245" s="57"/>
      <c r="I245" s="60"/>
      <c r="J245" s="57" t="s">
        <v>364</v>
      </c>
      <c r="K245" s="60"/>
      <c r="L245" s="57"/>
      <c r="M245" s="57"/>
      <c r="N245" s="56" cm="1">
        <f t="array" ref="N245:N249">'Carga y Reparto'!O87:O91</f>
        <v>0</v>
      </c>
    </row>
    <row r="246" spans="5:16" x14ac:dyDescent="0.3">
      <c r="E246" s="52" t="s">
        <v>86</v>
      </c>
      <c r="F246" s="52">
        <v>0</v>
      </c>
      <c r="G246" s="52">
        <v>0</v>
      </c>
      <c r="H246" s="57"/>
      <c r="I246" s="60"/>
      <c r="J246" s="57" t="s">
        <v>364</v>
      </c>
      <c r="K246" s="60"/>
      <c r="L246" s="57"/>
      <c r="M246" s="57"/>
      <c r="N246" s="56">
        <v>0</v>
      </c>
    </row>
    <row r="247" spans="5:16" x14ac:dyDescent="0.3">
      <c r="E247" s="52" t="s">
        <v>87</v>
      </c>
      <c r="F247" s="52" t="str">
        <v>Slack</v>
      </c>
      <c r="G247" s="52">
        <v>13</v>
      </c>
      <c r="H247" s="57" t="s">
        <v>365</v>
      </c>
      <c r="I247" s="60"/>
      <c r="J247" s="57" t="s">
        <v>364</v>
      </c>
      <c r="K247" s="60"/>
      <c r="L247" s="57"/>
      <c r="M247" s="57"/>
      <c r="N247" s="56">
        <v>0</v>
      </c>
    </row>
    <row r="248" spans="5:16" x14ac:dyDescent="0.3">
      <c r="E248" s="52" t="s">
        <v>88</v>
      </c>
      <c r="F248" s="52">
        <v>0</v>
      </c>
      <c r="G248" s="52">
        <v>0</v>
      </c>
      <c r="H248" s="57"/>
      <c r="I248" s="60"/>
      <c r="J248" s="57" t="s">
        <v>364</v>
      </c>
      <c r="K248" s="60"/>
      <c r="L248" s="57"/>
      <c r="M248" s="57"/>
      <c r="N248" s="56">
        <v>0</v>
      </c>
    </row>
    <row r="249" spans="5:16" x14ac:dyDescent="0.3">
      <c r="E249" s="52" t="s">
        <v>89</v>
      </c>
      <c r="F249" s="52" t="str">
        <v>Slack</v>
      </c>
      <c r="G249" s="52">
        <v>4</v>
      </c>
      <c r="H249" s="57" t="s">
        <v>365</v>
      </c>
      <c r="I249" s="60"/>
      <c r="J249" s="57" t="s">
        <v>364</v>
      </c>
      <c r="K249" s="60"/>
      <c r="L249" s="57"/>
      <c r="M249" s="57"/>
      <c r="N249" s="56">
        <v>0</v>
      </c>
    </row>
    <row r="252" spans="5:16" x14ac:dyDescent="0.3">
      <c r="E252" s="54" t="s">
        <v>756</v>
      </c>
      <c r="F252" s="54"/>
    </row>
    <row r="254" spans="5:16" x14ac:dyDescent="0.3">
      <c r="E254" s="54" t="s">
        <v>46</v>
      </c>
      <c r="F254" s="52" t="s">
        <v>400</v>
      </c>
      <c r="G254" s="52" t="s">
        <v>403</v>
      </c>
      <c r="I254" s="54" t="s">
        <v>57</v>
      </c>
      <c r="J254" s="52" t="s">
        <v>400</v>
      </c>
      <c r="K254" s="52" t="s">
        <v>403</v>
      </c>
      <c r="M254" s="54" t="s">
        <v>79</v>
      </c>
      <c r="N254" s="52" t="s">
        <v>400</v>
      </c>
      <c r="O254" s="52" t="s">
        <v>403</v>
      </c>
    </row>
    <row r="255" spans="5:16" x14ac:dyDescent="0.3">
      <c r="E255" s="57" t="s">
        <v>412</v>
      </c>
      <c r="F255" s="60"/>
      <c r="G255" s="56" cm="1">
        <f t="array" ref="G255:G263">Consumos!K9:K17</f>
        <v>5.2135777988682204</v>
      </c>
      <c r="H255" s="50" t="str">
        <f>IF(F255="","",F255)</f>
        <v/>
      </c>
      <c r="I255" s="57" t="s">
        <v>405</v>
      </c>
      <c r="J255" s="60">
        <v>3</v>
      </c>
      <c r="K255" s="56" cm="1">
        <f t="array" ref="K255:K258">Consumos!K21:K24</f>
        <v>14.032844465534886</v>
      </c>
      <c r="L255" s="50">
        <f>IF(J255="","",J255)</f>
        <v>3</v>
      </c>
      <c r="M255" s="57"/>
      <c r="N255" s="60"/>
      <c r="O255" s="56" t="str" cm="1">
        <f t="array" ref="O255:O257">Consumos!V22:V24</f>
        <v/>
      </c>
      <c r="P255" s="8" t="str">
        <f>IF(N255="","",N255)</f>
        <v/>
      </c>
    </row>
    <row r="256" spans="5:16" x14ac:dyDescent="0.3">
      <c r="E256" s="57" t="s">
        <v>414</v>
      </c>
      <c r="F256" s="60"/>
      <c r="G256" s="56">
        <v>3.7822444655348875</v>
      </c>
      <c r="H256" s="50" t="str">
        <f t="shared" ref="H256:H263" si="3">IF(F256="","",F256)</f>
        <v/>
      </c>
      <c r="I256" s="57" t="s">
        <v>406</v>
      </c>
      <c r="J256" s="60">
        <v>5</v>
      </c>
      <c r="K256" s="56">
        <v>9.0328444655348861</v>
      </c>
      <c r="L256" s="50">
        <f>IF(J256="","",J256)</f>
        <v>5</v>
      </c>
      <c r="M256" s="57"/>
      <c r="N256" s="60"/>
      <c r="O256" s="56" t="str">
        <v/>
      </c>
      <c r="P256" s="8" t="str">
        <f>IF(N256="","",N256)</f>
        <v/>
      </c>
    </row>
    <row r="257" spans="4:16" x14ac:dyDescent="0.3">
      <c r="E257" s="57" t="s">
        <v>413</v>
      </c>
      <c r="F257" s="60"/>
      <c r="G257" s="56">
        <v>0</v>
      </c>
      <c r="H257" s="50" t="str">
        <f t="shared" si="3"/>
        <v/>
      </c>
      <c r="I257" s="57" t="s">
        <v>404</v>
      </c>
      <c r="J257" s="60"/>
      <c r="K257" s="56">
        <v>0</v>
      </c>
      <c r="L257" s="50" t="str">
        <f>IF(J257="","",J257)</f>
        <v/>
      </c>
      <c r="M257" s="57"/>
      <c r="N257" s="60"/>
      <c r="O257" s="56" t="str">
        <v/>
      </c>
      <c r="P257" s="8" t="str">
        <f>IF(N257="","",N257)</f>
        <v/>
      </c>
    </row>
    <row r="258" spans="4:16" x14ac:dyDescent="0.3">
      <c r="E258" s="57"/>
      <c r="F258" s="60"/>
      <c r="G258" s="56">
        <v>0</v>
      </c>
      <c r="H258" s="50" t="str">
        <f t="shared" si="3"/>
        <v/>
      </c>
      <c r="I258" s="57"/>
      <c r="J258" s="60"/>
      <c r="K258" s="56">
        <v>0</v>
      </c>
      <c r="L258" s="50" t="str">
        <f>IF(J258="","",J258)</f>
        <v/>
      </c>
    </row>
    <row r="259" spans="4:16" x14ac:dyDescent="0.3">
      <c r="E259" s="57"/>
      <c r="F259" s="60"/>
      <c r="G259" s="56">
        <v>0</v>
      </c>
      <c r="H259" s="50" t="str">
        <f t="shared" si="3"/>
        <v/>
      </c>
    </row>
    <row r="260" spans="4:16" x14ac:dyDescent="0.3">
      <c r="E260" s="57"/>
      <c r="F260" s="60"/>
      <c r="G260" s="56">
        <v>0</v>
      </c>
      <c r="H260" s="50" t="str">
        <f t="shared" si="3"/>
        <v/>
      </c>
    </row>
    <row r="261" spans="4:16" x14ac:dyDescent="0.3">
      <c r="E261" s="57"/>
      <c r="F261" s="60"/>
      <c r="G261" s="56">
        <v>0</v>
      </c>
      <c r="H261" s="50" t="str">
        <f t="shared" si="3"/>
        <v/>
      </c>
    </row>
    <row r="262" spans="4:16" x14ac:dyDescent="0.3">
      <c r="E262" s="57"/>
      <c r="F262" s="60"/>
      <c r="G262" s="56">
        <v>0</v>
      </c>
      <c r="H262" s="50" t="str">
        <f t="shared" si="3"/>
        <v/>
      </c>
    </row>
    <row r="263" spans="4:16" x14ac:dyDescent="0.3">
      <c r="E263" s="57"/>
      <c r="F263" s="60"/>
      <c r="G263" s="56">
        <v>0</v>
      </c>
      <c r="H263" s="50" t="str">
        <f t="shared" si="3"/>
        <v/>
      </c>
    </row>
    <row r="265" spans="4:16" x14ac:dyDescent="0.3">
      <c r="E265" s="54" t="s">
        <v>63</v>
      </c>
      <c r="F265" s="52" t="s">
        <v>400</v>
      </c>
      <c r="G265" s="52" t="s">
        <v>403</v>
      </c>
      <c r="I265" s="54" t="s">
        <v>84</v>
      </c>
      <c r="J265" s="52" t="s">
        <v>400</v>
      </c>
      <c r="K265" s="52" t="s">
        <v>403</v>
      </c>
      <c r="M265" s="54" t="s">
        <v>75</v>
      </c>
      <c r="N265" s="52" t="s">
        <v>400</v>
      </c>
      <c r="O265" s="52" t="s">
        <v>403</v>
      </c>
    </row>
    <row r="266" spans="4:16" x14ac:dyDescent="0.3">
      <c r="E266" s="57" t="s">
        <v>424</v>
      </c>
      <c r="F266" s="60">
        <v>8.5</v>
      </c>
      <c r="G266" s="56" cm="1">
        <f t="array" ref="G266:G275">Consumos!V9:V18</f>
        <v>8.5328444655348861</v>
      </c>
      <c r="H266" s="50">
        <f>IF(F266="","",F266)</f>
        <v>8.5</v>
      </c>
      <c r="I266" s="57"/>
      <c r="J266" s="60"/>
      <c r="K266" s="56" t="str" cm="1">
        <f t="array" ref="K266:K270">Consumos!AG9:AG13</f>
        <v/>
      </c>
      <c r="L266" s="8" t="str">
        <f>IF(J266="","",J266)</f>
        <v/>
      </c>
      <c r="M266" s="57" t="s">
        <v>76</v>
      </c>
      <c r="N266" s="60"/>
      <c r="O266" s="56" cm="1">
        <f t="array" ref="O266:O267">Consumos!AG17:AG18</f>
        <v>0</v>
      </c>
      <c r="P266" s="8" t="str">
        <f>IF(N266="","",N266)</f>
        <v/>
      </c>
    </row>
    <row r="267" spans="4:16" x14ac:dyDescent="0.3">
      <c r="E267" s="57" t="s">
        <v>425</v>
      </c>
      <c r="F267" s="60">
        <v>8.5</v>
      </c>
      <c r="G267" s="56">
        <v>3.2844465534886069E-2</v>
      </c>
      <c r="H267" s="50">
        <f>IF(F267="","",F267)</f>
        <v>8.5</v>
      </c>
      <c r="I267" s="57"/>
      <c r="J267" s="60"/>
      <c r="K267" s="56" t="str">
        <v/>
      </c>
      <c r="L267" s="8" t="str">
        <f t="shared" ref="L267:L270" si="4">IF(J267="","",J267)</f>
        <v/>
      </c>
      <c r="M267" s="57"/>
      <c r="N267" s="60"/>
      <c r="O267" s="56">
        <v>0</v>
      </c>
      <c r="P267" s="8" t="str">
        <f>IF(N267="","",N267)</f>
        <v/>
      </c>
    </row>
    <row r="268" spans="4:16" x14ac:dyDescent="0.3">
      <c r="E268" s="57" t="s">
        <v>422</v>
      </c>
      <c r="F268" s="60"/>
      <c r="G268" s="56">
        <v>0</v>
      </c>
      <c r="H268" s="50" t="str">
        <f>IF(F268="","",F268)</f>
        <v/>
      </c>
      <c r="I268" s="57"/>
      <c r="J268" s="60"/>
      <c r="K268" s="56" t="str">
        <v/>
      </c>
      <c r="L268" s="8" t="str">
        <f t="shared" si="4"/>
        <v/>
      </c>
    </row>
    <row r="269" spans="4:16" x14ac:dyDescent="0.3">
      <c r="D269" s="50" t="str">
        <f>IF(G281="","",G281)</f>
        <v/>
      </c>
      <c r="E269" s="57"/>
      <c r="F269" s="60"/>
      <c r="G269" s="56">
        <v>0</v>
      </c>
      <c r="H269" s="50" t="str">
        <f>IF(F269="","",F269)</f>
        <v/>
      </c>
      <c r="I269" s="57"/>
      <c r="J269" s="60"/>
      <c r="K269" s="56" t="str">
        <v/>
      </c>
      <c r="L269" s="8" t="str">
        <f t="shared" si="4"/>
        <v/>
      </c>
    </row>
    <row r="270" spans="4:16" x14ac:dyDescent="0.3">
      <c r="D270" s="50" t="str">
        <f>IF(G282="","",G282)</f>
        <v>B2</v>
      </c>
      <c r="E270" s="57"/>
      <c r="F270" s="60"/>
      <c r="G270" s="56">
        <v>0</v>
      </c>
      <c r="H270" s="50" t="str">
        <f>IF(F270="","",F270)</f>
        <v/>
      </c>
      <c r="I270" s="57"/>
      <c r="J270" s="60"/>
      <c r="K270" s="56" t="str">
        <v/>
      </c>
      <c r="L270" s="8" t="str">
        <f t="shared" si="4"/>
        <v/>
      </c>
    </row>
    <row r="271" spans="4:16" x14ac:dyDescent="0.3">
      <c r="D271" s="50" t="str">
        <f>IF(G283="","",G283)</f>
        <v/>
      </c>
      <c r="E271" s="57"/>
      <c r="F271" s="60"/>
      <c r="G271" s="56">
        <v>0</v>
      </c>
      <c r="H271" s="50" t="str">
        <f>IF(F271="","",F271)</f>
        <v/>
      </c>
    </row>
    <row r="272" spans="4:16" x14ac:dyDescent="0.3">
      <c r="D272" s="50" t="str">
        <f>IF(G284="","",G284)</f>
        <v>B4</v>
      </c>
      <c r="E272" s="57"/>
      <c r="F272" s="60"/>
      <c r="G272" s="56">
        <v>0</v>
      </c>
      <c r="H272" s="50" t="str">
        <f>IF(F272="","",F272)</f>
        <v/>
      </c>
    </row>
    <row r="273" spans="4:12" x14ac:dyDescent="0.3">
      <c r="D273" s="50" t="str">
        <f>IF(G285="","",G285)</f>
        <v/>
      </c>
      <c r="E273" s="57"/>
      <c r="F273" s="60"/>
      <c r="G273" s="56">
        <v>0</v>
      </c>
      <c r="H273" s="50" t="str">
        <f>IF(F273="","",F273)</f>
        <v/>
      </c>
    </row>
    <row r="274" spans="4:12" x14ac:dyDescent="0.3">
      <c r="E274" s="57"/>
      <c r="F274" s="60"/>
      <c r="G274" s="56">
        <v>0</v>
      </c>
      <c r="H274" s="50" t="str">
        <f>IF(F274="","",F274)</f>
        <v/>
      </c>
    </row>
    <row r="275" spans="4:12" x14ac:dyDescent="0.3">
      <c r="E275" s="57"/>
      <c r="F275" s="60"/>
      <c r="G275" s="56">
        <v>0</v>
      </c>
      <c r="H275" s="50" t="str">
        <f>IF(F275="","",F275)</f>
        <v/>
      </c>
    </row>
    <row r="278" spans="4:12" x14ac:dyDescent="0.3">
      <c r="E278" s="54" t="s">
        <v>468</v>
      </c>
    </row>
    <row r="280" spans="4:12" x14ac:dyDescent="0.3">
      <c r="E280" s="54" t="s">
        <v>477</v>
      </c>
      <c r="F280" s="52" t="s">
        <v>3</v>
      </c>
      <c r="G280" s="54" t="s">
        <v>495</v>
      </c>
      <c r="H280" s="52" t="s">
        <v>354</v>
      </c>
      <c r="K280" s="52" t="s">
        <v>361</v>
      </c>
      <c r="L280" s="52" t="s">
        <v>128</v>
      </c>
    </row>
    <row r="281" spans="4:12" x14ac:dyDescent="0.3">
      <c r="E281" s="52" t="s">
        <v>6</v>
      </c>
      <c r="F281" s="56" cm="1">
        <f t="array" ref="F281:F285">_xlfn.ANCHORARRAY('Carga y Reparto'!T9)</f>
        <v>10453.033452397769</v>
      </c>
      <c r="G281" s="57"/>
      <c r="H281" s="60"/>
      <c r="I281" s="57"/>
      <c r="J281" s="57"/>
      <c r="K281" s="56" cm="1">
        <f t="array" aca="1" ref="K281:L285" ca="1">'Carga y Reparto'!Y9:Z13</f>
        <v>0</v>
      </c>
      <c r="L281" s="24" t="str">
        <f ca="1"/>
        <v/>
      </c>
    </row>
    <row r="282" spans="4:12" x14ac:dyDescent="0.3">
      <c r="E282" s="52" t="s">
        <v>7</v>
      </c>
      <c r="F282" s="56">
        <v>0</v>
      </c>
      <c r="G282" s="57" t="s">
        <v>7</v>
      </c>
      <c r="H282" s="60">
        <v>45</v>
      </c>
      <c r="I282" s="57" t="s">
        <v>358</v>
      </c>
      <c r="J282" s="57" t="s">
        <v>356</v>
      </c>
      <c r="K282" s="56">
        <f ca="1"/>
        <v>1.2742200000000001</v>
      </c>
      <c r="L282" s="24">
        <f ca="1"/>
        <v>8493.9209094852049</v>
      </c>
    </row>
    <row r="283" spans="4:12" x14ac:dyDescent="0.3">
      <c r="E283" s="52" t="s">
        <v>8</v>
      </c>
      <c r="F283" s="56">
        <v>11226.447776454837</v>
      </c>
      <c r="G283" s="57"/>
      <c r="H283" s="60"/>
      <c r="I283" s="57"/>
      <c r="J283" s="57"/>
      <c r="K283" s="56">
        <f ca="1"/>
        <v>0</v>
      </c>
      <c r="L283" s="24" t="str">
        <f ca="1"/>
        <v/>
      </c>
    </row>
    <row r="284" spans="4:12" x14ac:dyDescent="0.3">
      <c r="E284" s="52" t="s">
        <v>9</v>
      </c>
      <c r="F284" s="56">
        <v>0</v>
      </c>
      <c r="G284" s="57" t="s">
        <v>9</v>
      </c>
      <c r="H284" s="60">
        <v>1.18</v>
      </c>
      <c r="I284" s="57" t="s">
        <v>353</v>
      </c>
      <c r="J284" s="57" t="s">
        <v>356</v>
      </c>
      <c r="K284" s="56">
        <f ca="1"/>
        <v>1.18</v>
      </c>
      <c r="L284" s="24">
        <f ca="1"/>
        <v>1147.4818596986706</v>
      </c>
    </row>
    <row r="285" spans="4:12" x14ac:dyDescent="0.3">
      <c r="E285" s="52" t="s">
        <v>10</v>
      </c>
      <c r="F285" s="56">
        <v>11154.218715314913</v>
      </c>
      <c r="G285" s="57"/>
      <c r="H285" s="60"/>
      <c r="I285" s="57"/>
      <c r="J285" s="57"/>
      <c r="K285" s="56">
        <f ca="1"/>
        <v>0</v>
      </c>
      <c r="L285" s="24" t="str">
        <f ca="1"/>
        <v/>
      </c>
    </row>
    <row r="287" spans="4:12" x14ac:dyDescent="0.3">
      <c r="E287" s="54" t="s">
        <v>478</v>
      </c>
      <c r="F287" s="56" cm="1">
        <f t="array" aca="1" ref="F287:F288" ca="1">'Carga y Reparto'!T15:T16</f>
        <v>45442.480984167531</v>
      </c>
      <c r="K287" s="54" t="s">
        <v>481</v>
      </c>
      <c r="L287" s="52" t="s">
        <v>3</v>
      </c>
    </row>
    <row r="288" spans="4:12" x14ac:dyDescent="0.3">
      <c r="E288" s="54" t="s">
        <v>479</v>
      </c>
      <c r="F288" s="56">
        <f ca="1"/>
        <v>53080.9</v>
      </c>
      <c r="I288" s="24"/>
      <c r="K288" s="52" t="s">
        <v>6</v>
      </c>
      <c r="L288" s="56" cm="1">
        <f t="array" ref="L288:L292">P334:P338</f>
        <v>0</v>
      </c>
    </row>
    <row r="289" spans="5:12" x14ac:dyDescent="0.3">
      <c r="K289" s="52" t="s">
        <v>7</v>
      </c>
      <c r="L289" s="56">
        <v>0</v>
      </c>
    </row>
    <row r="290" spans="5:12" x14ac:dyDescent="0.3">
      <c r="E290" s="54" t="s">
        <v>480</v>
      </c>
      <c r="F290" s="56">
        <f ca="1">'Carga y Reparto'!T18</f>
        <v>7638.4190158324709</v>
      </c>
      <c r="K290" s="52" t="s">
        <v>8</v>
      </c>
      <c r="L290" s="56">
        <v>0</v>
      </c>
    </row>
    <row r="291" spans="5:12" x14ac:dyDescent="0.3">
      <c r="K291" s="52" t="s">
        <v>9</v>
      </c>
      <c r="L291" s="56">
        <v>0</v>
      </c>
    </row>
    <row r="292" spans="5:12" x14ac:dyDescent="0.3">
      <c r="E292" s="54" t="s">
        <v>497</v>
      </c>
      <c r="K292" s="52" t="s">
        <v>10</v>
      </c>
      <c r="L292" s="56">
        <v>0</v>
      </c>
    </row>
    <row r="293" spans="5:12" x14ac:dyDescent="0.3">
      <c r="E293" s="57" t="s">
        <v>579</v>
      </c>
      <c r="F293" s="60"/>
      <c r="G293" s="57" t="s">
        <v>496</v>
      </c>
    </row>
    <row r="296" spans="5:12" x14ac:dyDescent="0.3">
      <c r="E296" s="54" t="s">
        <v>758</v>
      </c>
      <c r="F296" s="54"/>
    </row>
    <row r="298" spans="5:12" x14ac:dyDescent="0.3">
      <c r="E298" s="54" t="s">
        <v>505</v>
      </c>
      <c r="F298" s="56" cm="1">
        <f t="array" aca="1" ref="F298:F306" ca="1">'Condición Salida'!G10:G18</f>
        <v>53080.9</v>
      </c>
      <c r="H298" s="52" t="s">
        <v>513</v>
      </c>
      <c r="I298" s="56">
        <f ca="1">'Condición Salida'!J10</f>
        <v>1.021986283377675E-3</v>
      </c>
    </row>
    <row r="299" spans="5:12" x14ac:dyDescent="0.3">
      <c r="E299" s="52" t="s">
        <v>506</v>
      </c>
      <c r="F299" s="56">
        <f ca="1"/>
        <v>10.147751188294089</v>
      </c>
      <c r="H299" s="54" t="s">
        <v>380</v>
      </c>
    </row>
    <row r="300" spans="5:12" x14ac:dyDescent="0.3">
      <c r="E300" s="52" t="s">
        <v>507</v>
      </c>
      <c r="F300" s="56">
        <f ca="1"/>
        <v>10.161334228521365</v>
      </c>
      <c r="H300" s="52" t="s">
        <v>374</v>
      </c>
      <c r="I300" s="56" cm="1">
        <f t="array" aca="1" ref="I300:I302" ca="1">'Condición Salida'!J12:J14</f>
        <v>10.664967333567942</v>
      </c>
      <c r="K300" s="52" t="s">
        <v>542</v>
      </c>
      <c r="L300" s="56" cm="1">
        <f t="array" aca="1" ref="L300:L304" ca="1">'Condición Salida'!G24:G28</f>
        <v>2.2698827725305146</v>
      </c>
    </row>
    <row r="301" spans="5:12" x14ac:dyDescent="0.3">
      <c r="E301" s="52" t="s">
        <v>508</v>
      </c>
      <c r="F301" s="56">
        <f ca="1"/>
        <v>97.886345795700066</v>
      </c>
      <c r="H301" s="52" t="s">
        <v>375</v>
      </c>
      <c r="I301" s="56">
        <f ca="1"/>
        <v>10.677225342156758</v>
      </c>
      <c r="K301" s="52" t="s">
        <v>543</v>
      </c>
      <c r="L301" s="56">
        <f ca="1"/>
        <v>50</v>
      </c>
    </row>
    <row r="302" spans="5:12" x14ac:dyDescent="0.3">
      <c r="E302" s="52" t="s">
        <v>509</v>
      </c>
      <c r="F302" s="56">
        <f ca="1"/>
        <v>6.6479856219461012E-5</v>
      </c>
      <c r="H302" s="52" t="s">
        <v>376</v>
      </c>
      <c r="I302" s="56">
        <f ca="1"/>
        <v>10.67163003149456</v>
      </c>
      <c r="K302" s="52" t="s">
        <v>544</v>
      </c>
      <c r="L302" s="56">
        <f ca="1"/>
        <v>0.51661699545039341</v>
      </c>
    </row>
    <row r="303" spans="5:12" x14ac:dyDescent="0.3">
      <c r="E303" s="52" t="s">
        <v>370</v>
      </c>
      <c r="F303" s="56">
        <f ca="1"/>
        <v>1.3583040227275724E-2</v>
      </c>
      <c r="H303" s="54" t="s">
        <v>381</v>
      </c>
      <c r="I303" s="41"/>
      <c r="K303" s="52" t="s">
        <v>545</v>
      </c>
      <c r="L303" s="56">
        <f ca="1"/>
        <v>0.34227615992610183</v>
      </c>
    </row>
    <row r="304" spans="5:12" x14ac:dyDescent="0.3">
      <c r="E304" s="52" t="s">
        <v>510</v>
      </c>
      <c r="F304" s="26">
        <f ca="1"/>
        <v>3.727070744835649</v>
      </c>
      <c r="H304" s="52" t="s">
        <v>377</v>
      </c>
      <c r="I304" s="56" cm="1">
        <f t="array" aca="1" ref="I304:I306" ca="1">'Condición Salida'!J16:J18</f>
        <v>10.642905313881629</v>
      </c>
      <c r="K304" s="52" t="s">
        <v>546</v>
      </c>
      <c r="L304" s="56">
        <f ca="1"/>
        <v>0.59478030194260401</v>
      </c>
    </row>
    <row r="305" spans="5:12" x14ac:dyDescent="0.3">
      <c r="E305" s="52" t="s">
        <v>511</v>
      </c>
      <c r="F305" s="34">
        <f ca="1"/>
        <v>9.3783398519644372</v>
      </c>
      <c r="H305" s="52" t="s">
        <v>378</v>
      </c>
      <c r="I305" s="56">
        <f ca="1"/>
        <v>10.656276028607227</v>
      </c>
    </row>
    <row r="306" spans="5:12" x14ac:dyDescent="0.3">
      <c r="E306" s="52" t="s">
        <v>512</v>
      </c>
      <c r="F306" s="27">
        <f ca="1"/>
        <v>0.586451863119822</v>
      </c>
      <c r="H306" s="52" t="s">
        <v>379</v>
      </c>
      <c r="I306" s="56">
        <f ca="1"/>
        <v>10.64963003149456</v>
      </c>
    </row>
    <row r="310" spans="5:12" x14ac:dyDescent="0.3">
      <c r="E310" s="54" t="s">
        <v>759</v>
      </c>
      <c r="F310" s="54"/>
    </row>
    <row r="312" spans="5:12" x14ac:dyDescent="0.3">
      <c r="E312" s="54" t="s">
        <v>504</v>
      </c>
      <c r="F312" s="56" cm="1">
        <f t="array" aca="1" ref="F312:F320" ca="1">'Condición Llegada'!G10:G18</f>
        <v>52467.717599240743</v>
      </c>
      <c r="H312" s="52" t="s">
        <v>521</v>
      </c>
      <c r="I312" s="56">
        <f ca="1">'Condición Llegada'!J10</f>
        <v>0.45171733861765651</v>
      </c>
    </row>
    <row r="313" spans="5:12" x14ac:dyDescent="0.3">
      <c r="E313" s="52" t="s">
        <v>514</v>
      </c>
      <c r="F313" s="56">
        <f ca="1"/>
        <v>10.115496340057817</v>
      </c>
      <c r="H313" s="54" t="s">
        <v>380</v>
      </c>
    </row>
    <row r="314" spans="5:12" x14ac:dyDescent="0.3">
      <c r="E314" s="52" t="s">
        <v>515</v>
      </c>
      <c r="F314" s="56">
        <f ca="1"/>
        <v>10.138330838199153</v>
      </c>
      <c r="H314" s="52" t="s">
        <v>374</v>
      </c>
      <c r="I314" s="56" cm="1">
        <f t="array" aca="1" ref="I314:I316" ca="1">'Condición Llegada'!J12:J14</f>
        <v>10.931331010147822</v>
      </c>
      <c r="K314" s="52" t="s">
        <v>542</v>
      </c>
      <c r="L314" s="56" cm="1">
        <f t="array" aca="1" ref="L314:L318" ca="1">'Condición Llegada'!G24:G28</f>
        <v>2.2883976059663249</v>
      </c>
    </row>
    <row r="315" spans="5:12" x14ac:dyDescent="0.3">
      <c r="E315" s="52" t="s">
        <v>516</v>
      </c>
      <c r="F315" s="56">
        <f ca="1"/>
        <v>98.837342314669769</v>
      </c>
      <c r="H315" s="52" t="s">
        <v>375</v>
      </c>
      <c r="I315" s="56">
        <f ca="1"/>
        <v>10.409809638462141</v>
      </c>
      <c r="K315" s="52" t="s">
        <v>543</v>
      </c>
      <c r="L315" s="56">
        <f ca="1"/>
        <v>50</v>
      </c>
    </row>
    <row r="316" spans="5:12" x14ac:dyDescent="0.3">
      <c r="E316" s="52" t="s">
        <v>517</v>
      </c>
      <c r="F316" s="56">
        <f ca="1"/>
        <v>2.9747087679007508E-2</v>
      </c>
      <c r="H316" s="52" t="s">
        <v>376</v>
      </c>
      <c r="I316" s="56">
        <f ca="1"/>
        <v>10.420877005347597</v>
      </c>
      <c r="K316" s="52" t="s">
        <v>544</v>
      </c>
      <c r="L316" s="56">
        <f ca="1"/>
        <v>0.51094602969949177</v>
      </c>
    </row>
    <row r="317" spans="5:12" x14ac:dyDescent="0.3">
      <c r="E317" s="52" t="s">
        <v>370</v>
      </c>
      <c r="F317" s="56">
        <f ca="1"/>
        <v>2.283449814133591E-2</v>
      </c>
      <c r="H317" s="54" t="s">
        <v>381</v>
      </c>
      <c r="I317" s="41"/>
      <c r="K317" s="52" t="s">
        <v>545</v>
      </c>
      <c r="L317" s="56">
        <f ca="1"/>
        <v>0.34511981641806277</v>
      </c>
    </row>
    <row r="318" spans="5:12" x14ac:dyDescent="0.3">
      <c r="E318" s="52" t="s">
        <v>518</v>
      </c>
      <c r="F318" s="26">
        <f ca="1"/>
        <v>3.7720051190607009</v>
      </c>
      <c r="H318" s="52" t="s">
        <v>377</v>
      </c>
      <c r="I318" s="56" cm="1">
        <f t="array" aca="1" ref="I318:I320" ca="1">'Condición Llegada'!J16:J18</f>
        <v>10.911764013253929</v>
      </c>
      <c r="K318" s="52" t="s">
        <v>546</v>
      </c>
      <c r="L318" s="56">
        <f ca="1"/>
        <v>0.58979869399090146</v>
      </c>
    </row>
    <row r="319" spans="5:12" x14ac:dyDescent="0.3">
      <c r="E319" s="52" t="s">
        <v>519</v>
      </c>
      <c r="F319" s="34">
        <f ca="1"/>
        <v>9.3749778531403898</v>
      </c>
      <c r="H319" s="52" t="s">
        <v>378</v>
      </c>
      <c r="I319" s="56">
        <f ca="1"/>
        <v>10.387237167143057</v>
      </c>
    </row>
    <row r="320" spans="5:12" x14ac:dyDescent="0.3">
      <c r="E320" s="52" t="s">
        <v>520</v>
      </c>
      <c r="F320" s="27">
        <f ca="1"/>
        <v>0.59131162758197686</v>
      </c>
      <c r="H320" s="52" t="s">
        <v>379</v>
      </c>
      <c r="I320" s="56">
        <f ca="1"/>
        <v>10.398877005347597</v>
      </c>
    </row>
  </sheetData>
  <dataValidations count="22">
    <dataValidation type="list" allowBlank="1" showInputMessage="1" showErrorMessage="1" sqref="F12:F16 F20:F28 F32:F35 F39:F63 F67:F76 F80:F81 F85:F87 F91:F95 H173:H177 H180:H188 H191:H194 H197:H221 H224:H233 H236:H237 H240:H242 H245:H249" xr:uid="{6A5D558A-96CA-4218-A8BB-BAFBA5BA4085}">
      <formula1>"Full,Slack,Vacio"</formula1>
    </dataValidation>
    <dataValidation type="list" allowBlank="1" showInputMessage="1" showErrorMessage="1" sqref="I12:I16 K173:K177" xr:uid="{78FC305C-CE73-4AF5-AE32-DB838B703542}">
      <formula1>"Fe,d"</formula1>
    </dataValidation>
    <dataValidation type="list" allowBlank="1" showInputMessage="1" showErrorMessage="1" sqref="H12:H16 K12:L16 J173:J177 M173:N177 I281:J285" xr:uid="{541E68D3-73F0-462C-8A83-03AA65773C7B}">
      <formula1>"Tm,LT,m3,ft3"</formula1>
    </dataValidation>
    <dataValidation type="list" allowBlank="1" showInputMessage="1" showErrorMessage="1" sqref="K20:K28 K32:K35 K39:K63 K67:K76 K80:K81 K85:K87 K91:K95 M180:M188 M191:M194 M197:M220 M224:M233 M236:M237 M240:M242 M245:M249" xr:uid="{0FFE75F9-1608-4D76-B728-DFF6CFAC4A4C}">
      <formula1>"m3,ft3"</formula1>
    </dataValidation>
    <dataValidation type="list" allowBlank="1" showInputMessage="1" showErrorMessage="1" sqref="J20:J28 J32:J35 J39:J63 J67:J76 J80:J81 J85:J87 J91:J95 L180:L188 L191:L194 L197:L220 L224:L233 L236:L237 L240:L242 L245:L249" xr:uid="{64DA88C0-8E73-4FA8-9F4F-C41D5B27FE80}">
      <formula1>"Tm,LT"</formula1>
    </dataValidation>
    <dataValidation type="list" allowBlank="1" showInputMessage="1" showErrorMessage="1" sqref="H20:H28 H32:H35 H39:H63 H67:H76 H80:H81 H85:H87 H91:H95 J180:J188 J191:J194 J197:J220 J224:J233 J236:J237 J240:J242 J245:J249" xr:uid="{52572581-9A23-467D-A6F0-17465AA5BF1B}">
      <formula1>"Igual,Distinta"</formula1>
    </dataValidation>
    <dataValidation type="list" allowBlank="1" showInputMessage="1" showErrorMessage="1" sqref="H134 M134" xr:uid="{1FFB2A19-9B8D-4AE2-B6FB-C8BCCC7DC329}">
      <formula1>"E,W"</formula1>
    </dataValidation>
    <dataValidation type="list" allowBlank="1" showInputMessage="1" showErrorMessage="1" sqref="H132 M132 K158" xr:uid="{ED4047D1-DDE8-42FE-8FDD-BD24CBF7AE63}">
      <formula1>"N,S"</formula1>
    </dataValidation>
    <dataValidation type="list" allowBlank="1" showInputMessage="1" showErrorMessage="1" sqref="F129 K129" xr:uid="{48825AC8-AF2E-4A97-A7B2-DFBF9527A1ED}">
      <formula1>$AL$13:$AL$121</formula1>
    </dataValidation>
    <dataValidation type="list" allowBlank="1" showInputMessage="1" showErrorMessage="1" sqref="F142" xr:uid="{DBDF5422-8BD4-480C-BF56-DB26687D4EF0}">
      <formula1>"GC,RL,Para.Limit"</formula1>
    </dataValidation>
    <dataValidation type="list" allowBlank="1" showInputMessage="1" showErrorMessage="1" sqref="G158 O158" xr:uid="{A0EC484B-8AEC-49BA-9C49-1405ADBFBEB8}">
      <formula1>"Aplica, No Aplica"</formula1>
    </dataValidation>
    <dataValidation type="list" allowBlank="1" showInputMessage="1" showErrorMessage="1" sqref="G157 O157" xr:uid="{8B9C670F-D3E9-4258-B128-AD6A8878CB3A}">
      <formula1>"Zona,TF,F,T,S,W"</formula1>
    </dataValidation>
    <dataValidation type="list" allowBlank="1" showInputMessage="1" showErrorMessage="1" sqref="J162" xr:uid="{1C5B8D89-8991-4C88-A346-8E4CF3937E62}">
      <formula1>"GC,RL,Entrada Manual"</formula1>
    </dataValidation>
    <dataValidation type="list" allowBlank="1" showInputMessage="1" showErrorMessage="1" sqref="E255:E263" xr:uid="{3E5B05B6-D5BA-44C0-8086-625B18FCE0C3}">
      <formula1>"Deep P 1,Deep S 1,Deep P 2,Deep S 2,Service Tk 1,Service Tk 2,Settling Tk 1,Settling Tk 2,Overflow Tk"</formula1>
    </dataValidation>
    <dataValidation type="list" allowBlank="1" showInputMessage="1" showErrorMessage="1" sqref="I255:I258" xr:uid="{12530C73-9552-4C87-9580-4DCB601EFD7D}">
      <formula1>"Deep S,Service 1,Service 2,Settling"</formula1>
    </dataValidation>
    <dataValidation type="list" allowBlank="1" showInputMessage="1" showErrorMessage="1" sqref="M255" xr:uid="{A5CF3002-B5CF-4648-924F-8190D441880B}">
      <formula1>"HFO Drain,Sludge,Stern Tube Drain"</formula1>
    </dataValidation>
    <dataValidation type="list" allowBlank="1" showInputMessage="1" showErrorMessage="1" sqref="E266:E275" xr:uid="{2D6C855B-6A5F-4DBD-A668-D3FF42808D0F}">
      <formula1>"Store 1,Store 2,Cyl 1,Cyl 2,Sump,A/E 1,A/E 2,Stern Tube,Cyl Service 1,Cyl Service 2"</formula1>
    </dataValidation>
    <dataValidation type="list" allowBlank="1" showInputMessage="1" showErrorMessage="1" sqref="I266:I270" xr:uid="{91B3DACF-28FC-422F-B901-A8BB6B294C9D}">
      <formula1>"S/T Cooling,Sewage Holding,Bilge,Feed,FW Drain"</formula1>
    </dataValidation>
    <dataValidation type="list" allowBlank="1" showInputMessage="1" showErrorMessage="1" sqref="M266:M267" xr:uid="{48A9B023-58DA-47E7-9583-BAFDDDB22A65}">
      <formula1>"FW Tk P,FW Tk S"</formula1>
    </dataValidation>
    <dataValidation type="list" allowBlank="1" showInputMessage="1" showErrorMessage="1" sqref="E293" xr:uid="{ECBC0D30-8F32-424B-B79A-7BFE6A077BA8}">
      <formula1>"A SAL (cm),A LLEG (cm)"</formula1>
    </dataValidation>
    <dataValidation type="list" allowBlank="1" showInputMessage="1" showErrorMessage="1" sqref="G293" xr:uid="{980909B8-D567-4F16-A1EE-11DBB6FAB394}">
      <formula1>"Apopante,Aproante,Aguas Iguales"</formula1>
    </dataValidation>
    <dataValidation type="list" allowBlank="1" showInputMessage="1" showErrorMessage="1" sqref="G281:G285" xr:uid="{2229B009-1A78-484A-A347-6C2CAB7066E9}">
      <formula1>"B1,B2,B3,B4,B5"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3010-B01A-4792-9C55-59774AADD765}">
  <sheetPr>
    <tabColor rgb="FFE2007D"/>
  </sheetPr>
  <dimension ref="B6:AD62"/>
  <sheetViews>
    <sheetView topLeftCell="V1" zoomScaleNormal="100" workbookViewId="0">
      <selection activeCell="AK32" sqref="AK32"/>
    </sheetView>
    <sheetView topLeftCell="AA1" workbookViewId="1">
      <selection activeCell="AB24" sqref="AB24"/>
    </sheetView>
  </sheetViews>
  <sheetFormatPr baseColWidth="10" defaultRowHeight="14.4" x14ac:dyDescent="0.3"/>
  <cols>
    <col min="1" max="1" width="11.5546875" style="9"/>
    <col min="2" max="2" width="11.44140625" style="9" customWidth="1"/>
    <col min="3" max="3" width="11.5546875" style="9"/>
    <col min="4" max="4" width="8.5546875" style="9" customWidth="1"/>
    <col min="5" max="5" width="11.5546875" style="9"/>
    <col min="6" max="6" width="11.44140625" style="9" customWidth="1"/>
    <col min="7" max="7" width="29.6640625" style="9" customWidth="1"/>
    <col min="8" max="28" width="11.5546875" style="9"/>
    <col min="29" max="29" width="15.88671875" style="9" customWidth="1"/>
    <col min="30" max="16384" width="11.5546875" style="9"/>
  </cols>
  <sheetData>
    <row r="6" spans="6:30" x14ac:dyDescent="0.3">
      <c r="K6" s="54" t="s">
        <v>657</v>
      </c>
    </row>
    <row r="7" spans="6:30" x14ac:dyDescent="0.3">
      <c r="K7" s="52" t="s">
        <v>281</v>
      </c>
      <c r="L7" s="1" t="s">
        <v>662</v>
      </c>
      <c r="O7" s="54" t="s">
        <v>672</v>
      </c>
      <c r="R7" s="54" t="s">
        <v>678</v>
      </c>
      <c r="U7" s="54" t="s">
        <v>686</v>
      </c>
      <c r="V7" s="54"/>
      <c r="X7" s="54" t="s">
        <v>692</v>
      </c>
      <c r="Y7" s="54"/>
      <c r="AC7" s="54" t="s">
        <v>735</v>
      </c>
      <c r="AD7" s="54"/>
    </row>
    <row r="8" spans="6:30" x14ac:dyDescent="0.3">
      <c r="K8" s="52" t="s">
        <v>280</v>
      </c>
      <c r="L8" s="1" t="s">
        <v>663</v>
      </c>
      <c r="O8" s="52" t="s">
        <v>673</v>
      </c>
      <c r="P8" s="1" t="s">
        <v>705</v>
      </c>
      <c r="Q8" s="1"/>
      <c r="R8" s="52" t="s">
        <v>679</v>
      </c>
      <c r="S8" s="1" t="s">
        <v>714</v>
      </c>
      <c r="T8" s="1"/>
      <c r="U8" s="52" t="s">
        <v>497</v>
      </c>
      <c r="V8" s="1" t="s">
        <v>723</v>
      </c>
      <c r="W8" s="1"/>
      <c r="X8" s="52" t="s">
        <v>693</v>
      </c>
      <c r="Y8" s="1" t="s">
        <v>729</v>
      </c>
      <c r="Z8" s="1"/>
      <c r="AC8" s="52" t="s">
        <v>736</v>
      </c>
      <c r="AD8" s="9" t="s">
        <v>748</v>
      </c>
    </row>
    <row r="9" spans="6:30" x14ac:dyDescent="0.3">
      <c r="K9" s="52" t="s">
        <v>282</v>
      </c>
      <c r="L9" s="1" t="s">
        <v>664</v>
      </c>
      <c r="O9" s="52" t="s">
        <v>489</v>
      </c>
      <c r="P9" s="1" t="s">
        <v>46</v>
      </c>
      <c r="Q9" s="1"/>
      <c r="R9" s="52" t="s">
        <v>680</v>
      </c>
      <c r="S9" s="1" t="s">
        <v>715</v>
      </c>
      <c r="T9" s="1"/>
      <c r="U9" s="52" t="s">
        <v>106</v>
      </c>
      <c r="V9" s="1" t="s">
        <v>724</v>
      </c>
      <c r="W9" s="1"/>
      <c r="X9" s="52" t="s">
        <v>694</v>
      </c>
      <c r="Y9" s="1" t="s">
        <v>730</v>
      </c>
      <c r="Z9" s="1"/>
      <c r="AC9" s="57" t="s">
        <v>737</v>
      </c>
      <c r="AD9" s="9" t="s">
        <v>749</v>
      </c>
    </row>
    <row r="10" spans="6:30" x14ac:dyDescent="0.3">
      <c r="K10" s="52" t="s">
        <v>308</v>
      </c>
      <c r="L10" s="1" t="s">
        <v>665</v>
      </c>
      <c r="O10" s="52" t="s">
        <v>400</v>
      </c>
      <c r="P10" s="1" t="s">
        <v>706</v>
      </c>
      <c r="Q10" s="1"/>
      <c r="R10" s="52" t="s">
        <v>681</v>
      </c>
      <c r="S10" s="1" t="s">
        <v>716</v>
      </c>
      <c r="T10" s="1"/>
      <c r="U10" s="52" t="s">
        <v>687</v>
      </c>
      <c r="V10" s="1" t="s">
        <v>725</v>
      </c>
      <c r="W10" s="1"/>
      <c r="X10" s="52" t="s">
        <v>695</v>
      </c>
      <c r="Y10" s="1" t="s">
        <v>730</v>
      </c>
      <c r="Z10" s="1"/>
      <c r="AC10" s="57" t="s">
        <v>738</v>
      </c>
      <c r="AD10" s="9" t="s">
        <v>750</v>
      </c>
    </row>
    <row r="11" spans="6:30" x14ac:dyDescent="0.3">
      <c r="K11" s="52" t="s">
        <v>658</v>
      </c>
      <c r="L11" s="1" t="s">
        <v>666</v>
      </c>
      <c r="O11" s="52" t="s">
        <v>674</v>
      </c>
      <c r="P11" s="1" t="s">
        <v>707</v>
      </c>
      <c r="Q11" s="1"/>
      <c r="R11" s="52" t="s">
        <v>682</v>
      </c>
      <c r="S11" s="1" t="s">
        <v>717</v>
      </c>
      <c r="T11" s="1"/>
      <c r="U11" s="52" t="s">
        <v>688</v>
      </c>
      <c r="V11" s="1" t="s">
        <v>726</v>
      </c>
      <c r="W11" s="1"/>
      <c r="X11" s="52" t="s">
        <v>696</v>
      </c>
      <c r="Y11" s="1" t="s">
        <v>731</v>
      </c>
      <c r="Z11" s="1"/>
      <c r="AC11" s="57" t="s">
        <v>740</v>
      </c>
      <c r="AD11" s="9" t="s">
        <v>741</v>
      </c>
    </row>
    <row r="12" spans="6:30" x14ac:dyDescent="0.3">
      <c r="F12" s="54" t="s">
        <v>2</v>
      </c>
      <c r="G12" s="1" t="s">
        <v>1</v>
      </c>
      <c r="K12" s="52" t="s">
        <v>578</v>
      </c>
      <c r="L12" s="1" t="s">
        <v>667</v>
      </c>
      <c r="O12" s="52" t="s">
        <v>401</v>
      </c>
      <c r="P12" s="1" t="s">
        <v>708</v>
      </c>
      <c r="Q12" s="1"/>
      <c r="R12" s="52" t="s">
        <v>683</v>
      </c>
      <c r="S12" s="1" t="s">
        <v>718</v>
      </c>
      <c r="T12" s="1"/>
      <c r="X12" s="52" t="s">
        <v>697</v>
      </c>
      <c r="Y12" s="1" t="s">
        <v>732</v>
      </c>
      <c r="Z12" s="1"/>
      <c r="AC12" s="57" t="s">
        <v>738</v>
      </c>
      <c r="AD12" s="9" t="s">
        <v>751</v>
      </c>
    </row>
    <row r="13" spans="6:30" x14ac:dyDescent="0.3">
      <c r="F13" s="52" t="s">
        <v>0</v>
      </c>
      <c r="G13" s="1" t="s">
        <v>565</v>
      </c>
      <c r="K13" s="52" t="s">
        <v>659</v>
      </c>
      <c r="L13" s="1" t="s">
        <v>668</v>
      </c>
      <c r="O13" s="52" t="s">
        <v>402</v>
      </c>
      <c r="P13" s="1" t="s">
        <v>709</v>
      </c>
      <c r="Q13" s="1"/>
      <c r="X13" s="52" t="s">
        <v>698</v>
      </c>
      <c r="Y13" s="1" t="s">
        <v>733</v>
      </c>
      <c r="Z13" s="1"/>
      <c r="AC13" s="52" t="s">
        <v>739</v>
      </c>
      <c r="AD13" s="9" t="s">
        <v>752</v>
      </c>
    </row>
    <row r="14" spans="6:30" x14ac:dyDescent="0.3">
      <c r="F14" s="60" t="s">
        <v>557</v>
      </c>
      <c r="G14" s="1" t="s">
        <v>561</v>
      </c>
      <c r="O14" s="52" t="s">
        <v>403</v>
      </c>
      <c r="P14" s="1" t="s">
        <v>710</v>
      </c>
      <c r="Q14" s="1"/>
      <c r="U14" s="54" t="s">
        <v>689</v>
      </c>
      <c r="V14" s="54"/>
      <c r="X14" s="52" t="s">
        <v>699</v>
      </c>
      <c r="Y14" s="1" t="s">
        <v>734</v>
      </c>
      <c r="Z14" s="1"/>
      <c r="AC14" s="57" t="s">
        <v>742</v>
      </c>
      <c r="AD14" s="9" t="s">
        <v>743</v>
      </c>
    </row>
    <row r="15" spans="6:30" x14ac:dyDescent="0.3">
      <c r="F15" s="56" t="s">
        <v>558</v>
      </c>
      <c r="G15" s="1" t="s">
        <v>562</v>
      </c>
      <c r="O15" s="52" t="s">
        <v>712</v>
      </c>
      <c r="P15" s="1" t="s">
        <v>711</v>
      </c>
      <c r="Q15" s="1"/>
      <c r="R15" s="54" t="s">
        <v>691</v>
      </c>
      <c r="U15" s="52" t="s">
        <v>465</v>
      </c>
      <c r="V15" s="1" t="s">
        <v>727</v>
      </c>
      <c r="W15" s="1"/>
      <c r="AC15" s="57" t="s">
        <v>740</v>
      </c>
      <c r="AD15" s="9" t="s">
        <v>744</v>
      </c>
    </row>
    <row r="16" spans="6:30" x14ac:dyDescent="0.3">
      <c r="F16" s="57" t="s">
        <v>560</v>
      </c>
      <c r="G16" s="1" t="s">
        <v>563</v>
      </c>
      <c r="K16" s="54" t="s">
        <v>660</v>
      </c>
      <c r="L16" s="1" t="s">
        <v>669</v>
      </c>
      <c r="M16" s="1"/>
      <c r="O16" s="52" t="s">
        <v>490</v>
      </c>
      <c r="P16" s="1" t="s">
        <v>57</v>
      </c>
      <c r="Q16" s="1"/>
      <c r="R16" s="52" t="s">
        <v>684</v>
      </c>
      <c r="S16" s="1" t="s">
        <v>719</v>
      </c>
      <c r="T16" s="1"/>
      <c r="U16" s="52" t="s">
        <v>690</v>
      </c>
      <c r="V16" s="1" t="s">
        <v>728</v>
      </c>
      <c r="W16" s="1"/>
      <c r="AC16" s="57" t="s">
        <v>742</v>
      </c>
      <c r="AD16" s="9" t="s">
        <v>745</v>
      </c>
    </row>
    <row r="17" spans="6:30" x14ac:dyDescent="0.3">
      <c r="F17" s="38"/>
      <c r="G17" s="1" t="s">
        <v>559</v>
      </c>
      <c r="K17" s="52" t="s">
        <v>102</v>
      </c>
      <c r="L17" s="1" t="s">
        <v>670</v>
      </c>
      <c r="M17" s="1"/>
      <c r="O17" s="52" t="s">
        <v>491</v>
      </c>
      <c r="P17" s="1" t="s">
        <v>523</v>
      </c>
      <c r="Q17" s="1"/>
      <c r="R17" s="52" t="s">
        <v>685</v>
      </c>
      <c r="S17" s="1" t="s">
        <v>720</v>
      </c>
      <c r="T17" s="1"/>
      <c r="AC17" s="52" t="s">
        <v>746</v>
      </c>
      <c r="AD17" s="9" t="s">
        <v>753</v>
      </c>
    </row>
    <row r="18" spans="6:30" x14ac:dyDescent="0.3">
      <c r="K18" s="52" t="s">
        <v>661</v>
      </c>
      <c r="L18" s="1" t="s">
        <v>671</v>
      </c>
      <c r="M18" s="1"/>
      <c r="O18" s="52" t="s">
        <v>675</v>
      </c>
      <c r="P18" s="1" t="s">
        <v>79</v>
      </c>
      <c r="Q18" s="1"/>
      <c r="R18" s="52" t="s">
        <v>106</v>
      </c>
      <c r="S18" s="1" t="s">
        <v>721</v>
      </c>
      <c r="T18" s="1"/>
      <c r="AC18" s="52" t="s">
        <v>747</v>
      </c>
      <c r="AD18" s="9" t="s">
        <v>754</v>
      </c>
    </row>
    <row r="19" spans="6:30" x14ac:dyDescent="0.3">
      <c r="K19" s="52" t="s">
        <v>596</v>
      </c>
      <c r="L19" s="1" t="s">
        <v>700</v>
      </c>
      <c r="M19" s="1"/>
      <c r="O19" s="52" t="s">
        <v>676</v>
      </c>
      <c r="P19" s="1" t="s">
        <v>84</v>
      </c>
      <c r="Q19" s="1"/>
      <c r="R19" s="52" t="s">
        <v>379</v>
      </c>
      <c r="S19" s="1" t="s">
        <v>722</v>
      </c>
      <c r="T19" s="1"/>
    </row>
    <row r="20" spans="6:30" x14ac:dyDescent="0.3">
      <c r="K20" s="52" t="s">
        <v>352</v>
      </c>
      <c r="L20" s="1" t="s">
        <v>701</v>
      </c>
      <c r="M20" s="1"/>
      <c r="O20" s="52" t="s">
        <v>677</v>
      </c>
      <c r="P20" s="1" t="s">
        <v>713</v>
      </c>
      <c r="Q20" s="1"/>
    </row>
    <row r="21" spans="6:30" x14ac:dyDescent="0.3">
      <c r="K21" s="52" t="s">
        <v>354</v>
      </c>
      <c r="L21" s="1" t="s">
        <v>702</v>
      </c>
      <c r="M21" s="1"/>
    </row>
    <row r="22" spans="6:30" x14ac:dyDescent="0.3">
      <c r="K22" s="52" t="s">
        <v>359</v>
      </c>
      <c r="L22" s="1" t="s">
        <v>703</v>
      </c>
      <c r="M22" s="1"/>
    </row>
    <row r="23" spans="6:30" x14ac:dyDescent="0.3">
      <c r="K23" s="52" t="s">
        <v>464</v>
      </c>
      <c r="L23" s="1" t="s">
        <v>704</v>
      </c>
      <c r="M23" s="1"/>
    </row>
    <row r="34" spans="3:15" x14ac:dyDescent="0.3">
      <c r="C34" s="11"/>
      <c r="D34" s="11"/>
      <c r="L34" s="11"/>
      <c r="M34" s="11"/>
    </row>
    <row r="36" spans="3:15" x14ac:dyDescent="0.3">
      <c r="C36" s="12"/>
      <c r="D36" s="12"/>
      <c r="E36" s="12"/>
      <c r="F36" s="12"/>
      <c r="G36" s="12"/>
      <c r="H36" s="12"/>
      <c r="I36" s="12"/>
      <c r="J36" s="12"/>
      <c r="L36" s="12"/>
      <c r="M36" s="12"/>
      <c r="N36" s="12"/>
      <c r="O36" s="12"/>
    </row>
    <row r="37" spans="3:15" x14ac:dyDescent="0.3">
      <c r="C37" s="13"/>
      <c r="D37" s="13"/>
      <c r="E37" s="14"/>
      <c r="F37" s="13"/>
      <c r="G37" s="14"/>
      <c r="H37" s="13"/>
      <c r="I37" s="14"/>
      <c r="J37" s="13"/>
      <c r="L37" s="13"/>
      <c r="M37" s="15"/>
      <c r="N37" s="15"/>
      <c r="O37" s="14"/>
    </row>
    <row r="38" spans="3:15" x14ac:dyDescent="0.3">
      <c r="C38" s="13"/>
      <c r="D38" s="13"/>
      <c r="E38" s="14"/>
      <c r="F38" s="13"/>
      <c r="G38" s="14"/>
      <c r="H38" s="13"/>
      <c r="I38" s="14"/>
      <c r="J38" s="13"/>
      <c r="L38" s="13"/>
      <c r="M38" s="15"/>
      <c r="N38" s="15"/>
      <c r="O38" s="14"/>
    </row>
    <row r="39" spans="3:15" x14ac:dyDescent="0.3">
      <c r="C39" s="13"/>
      <c r="D39" s="13"/>
      <c r="E39" s="14"/>
      <c r="F39" s="13"/>
      <c r="G39" s="14"/>
      <c r="H39" s="13"/>
      <c r="I39" s="14"/>
      <c r="J39" s="13"/>
      <c r="L39" s="13"/>
      <c r="M39" s="15"/>
      <c r="N39" s="15"/>
      <c r="O39" s="14"/>
    </row>
    <row r="40" spans="3:15" x14ac:dyDescent="0.3">
      <c r="C40" s="13"/>
      <c r="D40" s="13"/>
      <c r="E40" s="14"/>
      <c r="F40" s="13"/>
      <c r="G40" s="14"/>
      <c r="H40" s="13"/>
      <c r="I40" s="14"/>
      <c r="J40" s="13"/>
      <c r="L40" s="13"/>
      <c r="M40" s="15"/>
      <c r="N40" s="15"/>
      <c r="O40" s="14"/>
    </row>
    <row r="41" spans="3:15" x14ac:dyDescent="0.3">
      <c r="C41" s="13"/>
      <c r="D41" s="13"/>
      <c r="E41" s="14"/>
      <c r="F41" s="13"/>
      <c r="G41" s="14"/>
      <c r="H41" s="13"/>
      <c r="I41" s="14"/>
      <c r="J41" s="13"/>
      <c r="L41" s="13"/>
      <c r="M41" s="15"/>
      <c r="N41" s="15"/>
      <c r="O41" s="14"/>
    </row>
    <row r="42" spans="3:15" x14ac:dyDescent="0.3">
      <c r="C42" s="13"/>
      <c r="D42" s="13"/>
      <c r="E42" s="14"/>
      <c r="F42" s="13"/>
      <c r="G42" s="14"/>
      <c r="H42" s="13"/>
      <c r="I42" s="14"/>
      <c r="J42" s="13"/>
      <c r="L42" s="13"/>
      <c r="M42" s="15"/>
      <c r="N42" s="15"/>
      <c r="O42" s="14"/>
    </row>
    <row r="43" spans="3:15" x14ac:dyDescent="0.3">
      <c r="C43" s="13"/>
      <c r="D43" s="13"/>
      <c r="E43" s="14"/>
      <c r="F43" s="13"/>
      <c r="G43" s="14"/>
      <c r="H43" s="13"/>
      <c r="I43" s="14"/>
      <c r="J43" s="13"/>
      <c r="L43" s="13"/>
      <c r="M43" s="15"/>
      <c r="N43" s="15"/>
      <c r="O43" s="14"/>
    </row>
    <row r="44" spans="3:15" x14ac:dyDescent="0.3">
      <c r="C44" s="13"/>
      <c r="D44" s="13"/>
      <c r="E44" s="14"/>
      <c r="F44" s="13"/>
      <c r="G44" s="14"/>
      <c r="H44" s="13"/>
      <c r="I44" s="14"/>
      <c r="J44" s="13"/>
      <c r="L44" s="13"/>
      <c r="M44" s="15"/>
      <c r="N44" s="15"/>
      <c r="O44" s="14"/>
    </row>
    <row r="45" spans="3:15" x14ac:dyDescent="0.3">
      <c r="C45" s="13"/>
      <c r="D45" s="13"/>
      <c r="E45" s="14"/>
      <c r="F45" s="13"/>
      <c r="G45" s="14"/>
      <c r="H45" s="13"/>
      <c r="I45" s="14"/>
      <c r="J45" s="13"/>
      <c r="L45" s="13"/>
      <c r="M45" s="15"/>
      <c r="N45" s="15"/>
      <c r="O45" s="14"/>
    </row>
    <row r="46" spans="3:15" x14ac:dyDescent="0.3">
      <c r="C46" s="13"/>
      <c r="D46" s="13"/>
      <c r="E46" s="14"/>
      <c r="F46" s="13"/>
      <c r="G46" s="14"/>
      <c r="H46" s="13"/>
      <c r="I46" s="14"/>
      <c r="J46" s="13"/>
      <c r="L46" s="13"/>
      <c r="M46" s="15"/>
      <c r="N46" s="15"/>
      <c r="O46" s="14"/>
    </row>
    <row r="47" spans="3:15" x14ac:dyDescent="0.3">
      <c r="C47" s="13"/>
      <c r="D47" s="13"/>
      <c r="E47" s="14"/>
      <c r="F47" s="13"/>
      <c r="G47" s="14"/>
      <c r="H47" s="13"/>
      <c r="I47" s="14"/>
      <c r="J47" s="13"/>
      <c r="L47" s="13"/>
      <c r="M47" s="15"/>
      <c r="N47" s="15"/>
      <c r="O47" s="14"/>
    </row>
    <row r="48" spans="3:15" x14ac:dyDescent="0.3">
      <c r="C48" s="13"/>
      <c r="D48" s="13"/>
      <c r="E48" s="14"/>
      <c r="F48" s="13"/>
      <c r="G48" s="14"/>
      <c r="H48" s="13"/>
      <c r="I48" s="14"/>
      <c r="J48" s="13"/>
      <c r="L48" s="13"/>
      <c r="M48" s="15"/>
      <c r="N48" s="15"/>
      <c r="O48" s="14"/>
    </row>
    <row r="49" spans="2:15" x14ac:dyDescent="0.3">
      <c r="C49" s="13"/>
      <c r="D49" s="13"/>
      <c r="E49" s="14"/>
      <c r="F49" s="13"/>
      <c r="G49" s="14"/>
      <c r="H49" s="13"/>
      <c r="I49" s="14"/>
      <c r="J49" s="13"/>
      <c r="L49" s="13"/>
      <c r="M49" s="15"/>
      <c r="N49" s="15"/>
      <c r="O49" s="14"/>
    </row>
    <row r="50" spans="2:15" x14ac:dyDescent="0.3">
      <c r="C50" s="13"/>
      <c r="D50" s="13"/>
      <c r="E50" s="14"/>
      <c r="F50" s="13"/>
      <c r="G50" s="14"/>
      <c r="H50" s="13"/>
      <c r="I50" s="14"/>
      <c r="J50" s="13"/>
      <c r="L50" s="13"/>
      <c r="M50" s="15"/>
      <c r="N50" s="15"/>
      <c r="O50" s="14"/>
    </row>
    <row r="51" spans="2:15" x14ac:dyDescent="0.3">
      <c r="C51" s="13"/>
      <c r="D51" s="13"/>
      <c r="E51" s="14"/>
      <c r="F51" s="13"/>
      <c r="G51" s="14"/>
      <c r="H51" s="13"/>
      <c r="I51" s="14"/>
      <c r="J51" s="13"/>
      <c r="L51" s="13"/>
      <c r="M51" s="15"/>
      <c r="N51" s="15"/>
      <c r="O51" s="14"/>
    </row>
    <row r="52" spans="2:15" x14ac:dyDescent="0.3">
      <c r="C52" s="13"/>
      <c r="D52" s="13"/>
      <c r="E52" s="14"/>
      <c r="F52" s="13"/>
      <c r="G52" s="14"/>
      <c r="H52" s="13"/>
      <c r="I52" s="14"/>
      <c r="J52" s="13"/>
      <c r="L52" s="13"/>
      <c r="M52" s="15"/>
      <c r="N52" s="15"/>
      <c r="O52" s="14"/>
    </row>
    <row r="53" spans="2:15" x14ac:dyDescent="0.3">
      <c r="B53" s="12"/>
      <c r="C53" s="13"/>
      <c r="D53" s="16"/>
      <c r="E53" s="14"/>
      <c r="F53" s="13"/>
      <c r="G53" s="14"/>
      <c r="H53" s="13"/>
      <c r="I53" s="14"/>
      <c r="J53" s="13"/>
      <c r="K53" s="12"/>
      <c r="L53" s="16"/>
      <c r="M53" s="15"/>
      <c r="N53" s="15"/>
      <c r="O53" s="14"/>
    </row>
    <row r="54" spans="2:15" x14ac:dyDescent="0.3">
      <c r="B54" s="12"/>
      <c r="C54" s="13"/>
      <c r="D54" s="16"/>
      <c r="E54" s="14"/>
      <c r="F54" s="13"/>
      <c r="G54" s="14"/>
      <c r="H54" s="13"/>
      <c r="I54" s="14"/>
      <c r="J54" s="13"/>
      <c r="K54" s="12"/>
      <c r="L54" s="16"/>
      <c r="M54" s="15"/>
      <c r="N54" s="15"/>
      <c r="O54" s="14"/>
    </row>
    <row r="55" spans="2:15" x14ac:dyDescent="0.3">
      <c r="B55" s="12"/>
      <c r="C55" s="13"/>
      <c r="D55" s="16"/>
      <c r="E55" s="14"/>
      <c r="F55" s="13"/>
      <c r="G55" s="14"/>
      <c r="H55" s="13"/>
      <c r="I55" s="14"/>
      <c r="J55" s="13"/>
      <c r="K55" s="12"/>
      <c r="L55" s="16"/>
      <c r="M55" s="15"/>
      <c r="N55" s="15"/>
      <c r="O55" s="14"/>
    </row>
    <row r="56" spans="2:15" x14ac:dyDescent="0.3">
      <c r="B56" s="12"/>
      <c r="C56" s="13"/>
      <c r="D56" s="16"/>
      <c r="E56" s="14"/>
      <c r="F56" s="13"/>
      <c r="G56" s="14"/>
      <c r="H56" s="13"/>
      <c r="I56" s="14"/>
      <c r="J56" s="13"/>
      <c r="K56" s="12"/>
      <c r="L56" s="16"/>
      <c r="M56" s="15"/>
      <c r="N56" s="15"/>
      <c r="O56" s="14"/>
    </row>
    <row r="57" spans="2:15" x14ac:dyDescent="0.3">
      <c r="B57" s="12"/>
      <c r="C57" s="13"/>
      <c r="D57" s="16"/>
      <c r="E57" s="14"/>
      <c r="F57" s="13"/>
      <c r="G57" s="14"/>
      <c r="H57" s="13"/>
      <c r="I57" s="14"/>
      <c r="J57" s="13"/>
      <c r="K57" s="12"/>
      <c r="L57" s="16"/>
      <c r="M57" s="15"/>
      <c r="N57" s="15"/>
      <c r="O57" s="14"/>
    </row>
    <row r="58" spans="2:15" x14ac:dyDescent="0.3">
      <c r="C58" s="12"/>
      <c r="D58" s="12"/>
      <c r="E58" s="12"/>
      <c r="F58" s="12"/>
      <c r="G58" s="12"/>
      <c r="H58" s="12"/>
      <c r="I58" s="12"/>
      <c r="J58" s="12"/>
    </row>
    <row r="59" spans="2:15" x14ac:dyDescent="0.3">
      <c r="C59" s="14"/>
      <c r="D59" s="14"/>
      <c r="E59" s="14"/>
      <c r="F59" s="14"/>
      <c r="G59" s="14"/>
      <c r="H59" s="14"/>
      <c r="I59" s="14"/>
      <c r="J59" s="14"/>
      <c r="L59" s="12"/>
      <c r="M59" s="14"/>
      <c r="O59" s="14"/>
    </row>
    <row r="60" spans="2:15" x14ac:dyDescent="0.3">
      <c r="L60" s="12"/>
      <c r="M60" s="14"/>
    </row>
    <row r="61" spans="2:15" x14ac:dyDescent="0.3">
      <c r="C61" s="12"/>
      <c r="D61" s="17"/>
      <c r="F61" s="12"/>
      <c r="G61" s="17"/>
      <c r="I61" s="12"/>
      <c r="J61" s="14"/>
    </row>
    <row r="62" spans="2:15" x14ac:dyDescent="0.3">
      <c r="L62" s="12"/>
      <c r="M62" s="14"/>
    </row>
  </sheetData>
  <conditionalFormatting sqref="D61">
    <cfRule type="expression" dxfId="195" priority="2">
      <formula>$N$22="Pt. Da Buitra"</formula>
    </cfRule>
  </conditionalFormatting>
  <conditionalFormatting sqref="G61">
    <cfRule type="expression" dxfId="194" priority="1">
      <formula>$N$22="Pt. Da Buitra"</formula>
    </cfRule>
  </conditionalFormatting>
  <dataValidations disablePrompts="1" count="4">
    <dataValidation type="list" allowBlank="1" showInputMessage="1" showErrorMessage="1" sqref="G34" xr:uid="{8031DAB0-C444-424D-B3A0-9E63618C0056}">
      <formula1>"Editar,Limpiar"</formula1>
    </dataValidation>
    <dataValidation type="list" allowBlank="1" showInputMessage="1" showErrorMessage="1" sqref="N37:N57" xr:uid="{9F0C955F-8C53-43EF-A1E5-7D87518BE12B}">
      <mc:AlternateContent xmlns:x12ac="http://schemas.microsoft.com/office/spreadsheetml/2011/1/ac" xmlns:mc="http://schemas.openxmlformats.org/markup-compatibility/2006">
        <mc:Choice Requires="x12ac">
          <x12ac:list>1,"1,12"</x12ac:list>
        </mc:Choice>
        <mc:Fallback>
          <formula1>"1,1,12"</formula1>
        </mc:Fallback>
      </mc:AlternateContent>
    </dataValidation>
    <dataValidation type="list" allowBlank="1" showInputMessage="1" showErrorMessage="1" sqref="M37:M57" xr:uid="{BA0A104F-C3E7-46EF-865D-E983BE079FB0}">
      <formula1>$G$33:$G$35</formula1>
    </dataValidation>
    <dataValidation type="list" allowBlank="1" showInputMessage="1" showErrorMessage="1" sqref="G35" xr:uid="{20776CB5-0B25-4FC6-BC7F-0261DB878EF4}">
      <formula1>"Tm,LT"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C4FC-AE7E-415B-BC35-67314C6910A8}">
  <sheetPr>
    <tabColor rgb="FF223B82"/>
  </sheetPr>
  <dimension ref="A1:DF129"/>
  <sheetViews>
    <sheetView topLeftCell="A83" workbookViewId="0">
      <selection activeCell="C116" sqref="C116"/>
    </sheetView>
    <sheetView workbookViewId="1"/>
  </sheetViews>
  <sheetFormatPr baseColWidth="10" defaultRowHeight="14.4" x14ac:dyDescent="0.3"/>
  <cols>
    <col min="1" max="1" width="11.5546875" style="8"/>
    <col min="2" max="2" width="17" style="8" customWidth="1"/>
    <col min="3" max="9" width="11.5546875" style="8"/>
    <col min="10" max="10" width="13.109375" style="8" customWidth="1"/>
    <col min="11" max="18" width="11.77734375" style="8" customWidth="1"/>
    <col min="19" max="21" width="12.88671875" style="8" customWidth="1"/>
    <col min="22" max="22" width="11.5546875" style="8"/>
    <col min="23" max="23" width="12.21875" style="8" customWidth="1"/>
    <col min="24" max="28" width="12.5546875" style="8" customWidth="1"/>
    <col min="29" max="32" width="11.5546875" style="8"/>
    <col min="33" max="33" width="12.44140625" style="8" customWidth="1"/>
    <col min="34" max="36" width="11.5546875" style="8"/>
    <col min="37" max="39" width="11.77734375" style="8" customWidth="1"/>
    <col min="40" max="40" width="12.44140625" style="8" customWidth="1"/>
    <col min="41" max="42" width="11.77734375" style="8" customWidth="1"/>
    <col min="43" max="43" width="11.5546875" style="8"/>
    <col min="44" max="46" width="11.77734375" style="8" customWidth="1"/>
    <col min="47" max="47" width="13" style="8" customWidth="1"/>
    <col min="48" max="49" width="11.77734375" style="8" customWidth="1"/>
    <col min="50" max="50" width="11.5546875" style="8"/>
    <col min="51" max="53" width="11.77734375" style="8" customWidth="1"/>
    <col min="54" max="54" width="12.44140625" style="8" customWidth="1"/>
    <col min="55" max="56" width="11.77734375" style="8" customWidth="1"/>
    <col min="57" max="58" width="11.5546875" style="8"/>
    <col min="59" max="59" width="12.21875" style="8" customWidth="1"/>
    <col min="60" max="67" width="12.5546875" style="8" customWidth="1"/>
    <col min="68" max="68" width="13.33203125" style="8" customWidth="1"/>
    <col min="69" max="69" width="13.109375" style="8" customWidth="1"/>
    <col min="70" max="77" width="13.33203125" style="8" customWidth="1"/>
    <col min="78" max="78" width="13.6640625" style="8" customWidth="1"/>
    <col min="79" max="79" width="13.33203125" style="8" customWidth="1"/>
    <col min="80" max="88" width="13.6640625" style="8" customWidth="1"/>
    <col min="89" max="89" width="11.5546875" style="8"/>
    <col min="90" max="90" width="18.6640625" style="8" customWidth="1"/>
    <col min="91" max="98" width="12.5546875" style="8" customWidth="1"/>
    <col min="99" max="99" width="13.33203125" style="8" customWidth="1"/>
    <col min="100" max="100" width="11.5546875" style="8"/>
    <col min="101" max="101" width="18.6640625" style="8" customWidth="1"/>
    <col min="102" max="109" width="12.5546875" style="8" customWidth="1"/>
    <col min="110" max="110" width="13.33203125" style="8" customWidth="1"/>
    <col min="111" max="16384" width="11.5546875" style="8"/>
  </cols>
  <sheetData>
    <row r="1" spans="1:110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110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110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11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8" spans="1:110" x14ac:dyDescent="0.3">
      <c r="B8" s="54" t="s">
        <v>11</v>
      </c>
      <c r="C8" s="52" t="s">
        <v>13</v>
      </c>
      <c r="D8" s="52" t="s">
        <v>14</v>
      </c>
      <c r="E8" s="52" t="s">
        <v>15</v>
      </c>
      <c r="F8" s="52" t="s">
        <v>16</v>
      </c>
      <c r="G8" s="52" t="s">
        <v>17</v>
      </c>
      <c r="H8" s="52" t="s">
        <v>18</v>
      </c>
      <c r="J8" s="52" t="s">
        <v>92</v>
      </c>
      <c r="K8" s="20">
        <v>190</v>
      </c>
      <c r="M8"/>
      <c r="N8"/>
      <c r="O8"/>
      <c r="P8"/>
      <c r="W8" s="18"/>
      <c r="X8" s="18"/>
      <c r="Y8" s="54" t="s">
        <v>125</v>
      </c>
      <c r="Z8" s="54"/>
      <c r="AA8" s="18"/>
      <c r="AB8" s="18"/>
      <c r="AD8" s="18"/>
      <c r="AE8" s="18"/>
      <c r="AF8" s="54" t="s">
        <v>129</v>
      </c>
      <c r="AG8" s="54"/>
      <c r="AH8" s="18"/>
      <c r="AI8" s="18"/>
      <c r="AK8" s="18"/>
      <c r="AL8" s="18"/>
      <c r="AM8" s="54" t="s">
        <v>130</v>
      </c>
      <c r="AN8" s="54"/>
      <c r="AO8" s="18"/>
      <c r="AP8" s="18"/>
      <c r="AR8" s="18"/>
      <c r="AS8" s="18"/>
      <c r="AT8" s="54" t="s">
        <v>131</v>
      </c>
      <c r="AU8" s="54"/>
      <c r="AV8" s="18"/>
      <c r="AW8" s="18"/>
      <c r="AY8" s="18"/>
      <c r="AZ8" s="18"/>
      <c r="BA8" s="54" t="s">
        <v>132</v>
      </c>
      <c r="BB8" s="54"/>
      <c r="BC8" s="18"/>
      <c r="BD8" s="18"/>
      <c r="BF8" s="54" t="s">
        <v>135</v>
      </c>
      <c r="BG8" s="54"/>
      <c r="BH8" s="54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L8" s="54" t="s">
        <v>137</v>
      </c>
      <c r="CM8" s="18"/>
      <c r="CN8" s="18"/>
      <c r="CO8" s="18"/>
      <c r="CP8" s="18"/>
      <c r="CQ8" s="18"/>
      <c r="CR8" s="18"/>
      <c r="CS8" s="18"/>
      <c r="CT8" s="18"/>
      <c r="CU8" s="18"/>
      <c r="CW8" s="54" t="s">
        <v>139</v>
      </c>
      <c r="CX8" s="18"/>
      <c r="CY8" s="18"/>
      <c r="CZ8" s="18"/>
      <c r="DA8" s="18"/>
      <c r="DB8" s="18"/>
      <c r="DC8" s="18"/>
      <c r="DD8" s="18"/>
      <c r="DE8" s="18"/>
      <c r="DF8" s="18"/>
    </row>
    <row r="9" spans="1:110" x14ac:dyDescent="0.3">
      <c r="B9" s="52" t="s">
        <v>6</v>
      </c>
      <c r="C9" s="20">
        <v>12437.9</v>
      </c>
      <c r="D9" s="20">
        <v>12189.1</v>
      </c>
      <c r="E9" s="20">
        <v>158.6</v>
      </c>
      <c r="F9" s="20">
        <v>0</v>
      </c>
      <c r="G9" s="20">
        <v>10.119999999999999</v>
      </c>
      <c r="H9" s="20">
        <v>49541</v>
      </c>
      <c r="J9" s="52" t="s">
        <v>93</v>
      </c>
      <c r="K9" s="23">
        <v>183.25</v>
      </c>
      <c r="M9" s="52" t="s">
        <v>97</v>
      </c>
      <c r="N9" s="52" t="s">
        <v>98</v>
      </c>
      <c r="O9" s="52" t="s">
        <v>99</v>
      </c>
      <c r="P9" s="52" t="s">
        <v>100</v>
      </c>
      <c r="R9" s="18"/>
      <c r="S9" s="54" t="s">
        <v>105</v>
      </c>
      <c r="T9" s="54"/>
      <c r="W9" s="52" t="s">
        <v>126</v>
      </c>
      <c r="X9" s="52" t="s">
        <v>127</v>
      </c>
      <c r="Y9" s="52" t="s">
        <v>128</v>
      </c>
      <c r="Z9" s="52" t="s">
        <v>5</v>
      </c>
      <c r="AA9" s="52" t="s">
        <v>15</v>
      </c>
      <c r="AB9" s="52" t="s">
        <v>17</v>
      </c>
      <c r="AD9" s="52" t="s">
        <v>126</v>
      </c>
      <c r="AE9" s="52" t="s">
        <v>127</v>
      </c>
      <c r="AF9" s="52" t="s">
        <v>128</v>
      </c>
      <c r="AG9" s="52" t="s">
        <v>5</v>
      </c>
      <c r="AH9" s="52" t="s">
        <v>15</v>
      </c>
      <c r="AI9" s="52" t="s">
        <v>17</v>
      </c>
      <c r="AK9" s="52" t="s">
        <v>126</v>
      </c>
      <c r="AL9" s="52" t="s">
        <v>127</v>
      </c>
      <c r="AM9" s="52" t="s">
        <v>128</v>
      </c>
      <c r="AN9" s="52" t="s">
        <v>5</v>
      </c>
      <c r="AO9" s="52" t="s">
        <v>15</v>
      </c>
      <c r="AP9" s="52" t="s">
        <v>17</v>
      </c>
      <c r="AR9" s="52" t="s">
        <v>126</v>
      </c>
      <c r="AS9" s="52" t="s">
        <v>127</v>
      </c>
      <c r="AT9" s="52" t="s">
        <v>128</v>
      </c>
      <c r="AU9" s="52" t="s">
        <v>5</v>
      </c>
      <c r="AV9" s="52" t="s">
        <v>15</v>
      </c>
      <c r="AW9" s="52" t="s">
        <v>17</v>
      </c>
      <c r="AY9" s="52" t="s">
        <v>126</v>
      </c>
      <c r="AZ9" s="52" t="s">
        <v>127</v>
      </c>
      <c r="BA9" s="52" t="s">
        <v>128</v>
      </c>
      <c r="BB9" s="52" t="s">
        <v>5</v>
      </c>
      <c r="BC9" s="52" t="s">
        <v>15</v>
      </c>
      <c r="BD9" s="52" t="s">
        <v>17</v>
      </c>
      <c r="BF9" s="54" t="s">
        <v>136</v>
      </c>
      <c r="BG9" s="52">
        <v>8</v>
      </c>
      <c r="BH9" s="52">
        <v>8.1</v>
      </c>
      <c r="BI9" s="52">
        <v>8.1999999999999993</v>
      </c>
      <c r="BJ9" s="52">
        <v>8.3000000000000007</v>
      </c>
      <c r="BK9" s="52">
        <v>8.4</v>
      </c>
      <c r="BL9" s="52">
        <v>8.5</v>
      </c>
      <c r="BM9" s="52">
        <v>8.6</v>
      </c>
      <c r="BN9" s="52">
        <v>8.6999999999999993</v>
      </c>
      <c r="BO9" s="52">
        <v>8.8000000000000007</v>
      </c>
      <c r="BP9" s="52">
        <v>8.9</v>
      </c>
      <c r="BQ9" s="52">
        <v>9</v>
      </c>
      <c r="BR9" s="52">
        <v>9.1</v>
      </c>
      <c r="BS9" s="52">
        <v>9.1999999999999993</v>
      </c>
      <c r="BT9" s="52">
        <v>9.3000000000000007</v>
      </c>
      <c r="BU9" s="52">
        <v>9.4</v>
      </c>
      <c r="BV9" s="52">
        <v>9.4999999999999893</v>
      </c>
      <c r="BW9" s="52">
        <v>9.5999999999999908</v>
      </c>
      <c r="BX9" s="52">
        <v>9.6999999999999904</v>
      </c>
      <c r="BY9" s="52">
        <v>9.7999999999999901</v>
      </c>
      <c r="BZ9" s="52">
        <v>9.8999999999999897</v>
      </c>
      <c r="CA9" s="52">
        <v>9.9999999999999893</v>
      </c>
      <c r="CB9" s="52">
        <v>10.1</v>
      </c>
      <c r="CC9" s="52">
        <v>10.199999999999999</v>
      </c>
      <c r="CD9" s="52">
        <v>10.3</v>
      </c>
      <c r="CE9" s="52">
        <v>10.4</v>
      </c>
      <c r="CF9" s="52">
        <v>10.5</v>
      </c>
      <c r="CG9" s="52">
        <v>10.6</v>
      </c>
      <c r="CH9" s="52">
        <v>10.7</v>
      </c>
      <c r="CI9" s="52">
        <v>10.8</v>
      </c>
      <c r="CJ9" s="52">
        <v>10.9</v>
      </c>
      <c r="CL9" s="54" t="s">
        <v>138</v>
      </c>
      <c r="CM9" s="52">
        <v>5</v>
      </c>
      <c r="CN9" s="52">
        <v>10</v>
      </c>
      <c r="CO9" s="52">
        <v>12</v>
      </c>
      <c r="CP9" s="52">
        <v>20</v>
      </c>
      <c r="CQ9" s="52">
        <v>30</v>
      </c>
      <c r="CR9" s="52">
        <v>40</v>
      </c>
      <c r="CS9" s="52">
        <v>50</v>
      </c>
      <c r="CT9" s="52">
        <v>60</v>
      </c>
      <c r="CU9" s="52">
        <v>75</v>
      </c>
      <c r="CW9" s="54" t="s">
        <v>138</v>
      </c>
      <c r="CX9" s="52">
        <v>5</v>
      </c>
      <c r="CY9" s="52">
        <v>10</v>
      </c>
      <c r="CZ9" s="52">
        <v>12</v>
      </c>
      <c r="DA9" s="52">
        <v>20</v>
      </c>
      <c r="DB9" s="52">
        <v>30</v>
      </c>
      <c r="DC9" s="52">
        <v>40</v>
      </c>
      <c r="DD9" s="52">
        <v>50</v>
      </c>
      <c r="DE9" s="52">
        <v>60</v>
      </c>
      <c r="DF9" s="52">
        <v>75</v>
      </c>
    </row>
    <row r="10" spans="1:110" ht="15" x14ac:dyDescent="0.35">
      <c r="B10" s="52" t="s">
        <v>7</v>
      </c>
      <c r="C10" s="23">
        <v>13347</v>
      </c>
      <c r="D10" s="23">
        <v>13080</v>
      </c>
      <c r="E10" s="23">
        <v>130.02000000000001</v>
      </c>
      <c r="F10" s="23">
        <v>0</v>
      </c>
      <c r="G10" s="23">
        <v>10.210000000000001</v>
      </c>
      <c r="H10" s="23">
        <v>63136</v>
      </c>
      <c r="J10" s="52" t="s">
        <v>94</v>
      </c>
      <c r="K10" s="20">
        <v>32.26</v>
      </c>
      <c r="M10" s="20" t="s">
        <v>101</v>
      </c>
      <c r="N10" s="20">
        <v>13.083</v>
      </c>
      <c r="O10" s="20">
        <v>66074</v>
      </c>
      <c r="P10" s="20">
        <v>55030</v>
      </c>
      <c r="R10" s="52" t="s">
        <v>106</v>
      </c>
      <c r="S10" s="52" t="s">
        <v>107</v>
      </c>
      <c r="T10" s="52" t="s">
        <v>108</v>
      </c>
      <c r="W10" s="39">
        <v>17.774999999999999</v>
      </c>
      <c r="X10">
        <v>0</v>
      </c>
      <c r="Y10">
        <v>12431.5</v>
      </c>
      <c r="Z10">
        <v>536</v>
      </c>
      <c r="AA10">
        <v>158.59</v>
      </c>
      <c r="AB10">
        <v>10.119999999999999</v>
      </c>
      <c r="AD10">
        <v>17.975000000000001</v>
      </c>
      <c r="AE10">
        <v>0</v>
      </c>
      <c r="AF10">
        <v>13349.5</v>
      </c>
      <c r="AG10">
        <v>688</v>
      </c>
      <c r="AH10">
        <v>130.01</v>
      </c>
      <c r="AI10">
        <v>10.210000000000001</v>
      </c>
      <c r="AK10">
        <v>17.975000000000001</v>
      </c>
      <c r="AL10">
        <v>0</v>
      </c>
      <c r="AM10">
        <v>13351.3</v>
      </c>
      <c r="AN10">
        <v>688</v>
      </c>
      <c r="AO10">
        <v>101.22</v>
      </c>
      <c r="AP10">
        <v>10.210000000000001</v>
      </c>
      <c r="AR10">
        <v>17.975000000000001</v>
      </c>
      <c r="AS10">
        <v>0</v>
      </c>
      <c r="AT10">
        <v>13349.6</v>
      </c>
      <c r="AU10">
        <v>688</v>
      </c>
      <c r="AV10">
        <v>72.42</v>
      </c>
      <c r="AW10">
        <v>10.210000000000001</v>
      </c>
      <c r="AY10">
        <v>17.975000000000001</v>
      </c>
      <c r="AZ10">
        <v>0</v>
      </c>
      <c r="BA10">
        <v>13265.4</v>
      </c>
      <c r="BB10">
        <v>688</v>
      </c>
      <c r="BC10">
        <v>43.26</v>
      </c>
      <c r="BD10">
        <v>10.52</v>
      </c>
      <c r="BF10" s="52">
        <v>7.5</v>
      </c>
      <c r="BG10">
        <v>61272</v>
      </c>
      <c r="BH10">
        <v>60463</v>
      </c>
      <c r="BI10">
        <v>59654</v>
      </c>
      <c r="BJ10">
        <v>58845</v>
      </c>
      <c r="BK10">
        <v>58036</v>
      </c>
      <c r="BL10">
        <v>57227</v>
      </c>
      <c r="BM10">
        <v>56418</v>
      </c>
      <c r="BN10">
        <v>55609</v>
      </c>
      <c r="BO10">
        <v>54801</v>
      </c>
      <c r="BP10">
        <v>53992</v>
      </c>
      <c r="BQ10">
        <v>53182</v>
      </c>
      <c r="BR10">
        <v>52373</v>
      </c>
      <c r="BS10">
        <v>51565</v>
      </c>
      <c r="BT10">
        <v>50756</v>
      </c>
      <c r="BU10">
        <v>49947</v>
      </c>
      <c r="BV10">
        <v>49138</v>
      </c>
      <c r="BW10">
        <v>48329</v>
      </c>
      <c r="BX10">
        <v>47520</v>
      </c>
      <c r="BY10">
        <v>46711</v>
      </c>
      <c r="BZ10">
        <v>45902</v>
      </c>
      <c r="CA10">
        <v>45093</v>
      </c>
      <c r="CB10">
        <v>44284</v>
      </c>
      <c r="CC10">
        <v>43475</v>
      </c>
      <c r="CD10">
        <v>42667</v>
      </c>
      <c r="CE10">
        <v>41858</v>
      </c>
      <c r="CF10">
        <v>41049</v>
      </c>
      <c r="CG10">
        <v>40240</v>
      </c>
      <c r="CH10">
        <v>39431</v>
      </c>
      <c r="CI10">
        <v>38622</v>
      </c>
      <c r="CJ10">
        <v>37814</v>
      </c>
      <c r="CL10" s="52">
        <v>7.5</v>
      </c>
      <c r="CM10">
        <v>1.337</v>
      </c>
      <c r="CN10">
        <v>2.6920000000000002</v>
      </c>
      <c r="CO10">
        <v>3.238</v>
      </c>
      <c r="CP10">
        <v>5.46</v>
      </c>
      <c r="CQ10">
        <v>8.1760000000000002</v>
      </c>
      <c r="CR10">
        <v>10.143000000000001</v>
      </c>
      <c r="CS10">
        <v>11.164999999999999</v>
      </c>
      <c r="CT10">
        <v>11.662000000000001</v>
      </c>
      <c r="CU10">
        <v>11.419</v>
      </c>
      <c r="CW10" s="52">
        <v>7.5</v>
      </c>
      <c r="CX10">
        <v>1.3480000000000001</v>
      </c>
      <c r="CY10">
        <v>2.7130000000000001</v>
      </c>
      <c r="CZ10">
        <v>3.2639999999999998</v>
      </c>
      <c r="DA10">
        <v>5.5019999999999998</v>
      </c>
      <c r="DB10">
        <v>8.2230000000000008</v>
      </c>
      <c r="DC10">
        <v>10.185</v>
      </c>
      <c r="DD10">
        <v>11.186999999999999</v>
      </c>
      <c r="DE10">
        <v>11.68</v>
      </c>
      <c r="DF10">
        <v>11.435</v>
      </c>
    </row>
    <row r="11" spans="1:110" ht="15" x14ac:dyDescent="0.35">
      <c r="B11" s="52" t="s">
        <v>8</v>
      </c>
      <c r="C11" s="20">
        <v>13348.7</v>
      </c>
      <c r="D11" s="20">
        <v>13081.8</v>
      </c>
      <c r="E11" s="20">
        <v>101.22</v>
      </c>
      <c r="F11" s="20">
        <v>0</v>
      </c>
      <c r="G11" s="20">
        <v>10.210000000000001</v>
      </c>
      <c r="H11" s="20">
        <v>63150</v>
      </c>
      <c r="J11" s="52" t="s">
        <v>95</v>
      </c>
      <c r="K11" s="23">
        <v>17.5</v>
      </c>
      <c r="M11" s="23" t="s">
        <v>102</v>
      </c>
      <c r="N11" s="23">
        <v>12.821999999999999</v>
      </c>
      <c r="O11" s="23">
        <v>64947</v>
      </c>
      <c r="P11" s="23">
        <v>53903</v>
      </c>
      <c r="R11" s="52" t="s">
        <v>109</v>
      </c>
      <c r="S11" s="20">
        <v>2.1999999999999999E-2</v>
      </c>
      <c r="T11" s="20">
        <v>2.1999999999999999E-2</v>
      </c>
      <c r="W11" s="39">
        <v>17.574999999999999</v>
      </c>
      <c r="X11">
        <v>0.2</v>
      </c>
      <c r="Y11">
        <v>12351.7</v>
      </c>
      <c r="Z11">
        <v>1406</v>
      </c>
      <c r="AA11">
        <v>158.6</v>
      </c>
      <c r="AB11">
        <v>10.050000000000001</v>
      </c>
      <c r="AD11">
        <v>17.774999999999999</v>
      </c>
      <c r="AE11">
        <v>0.2</v>
      </c>
      <c r="AF11">
        <v>13253</v>
      </c>
      <c r="AG11">
        <v>1749</v>
      </c>
      <c r="AH11">
        <v>130.02000000000001</v>
      </c>
      <c r="AI11">
        <v>10.14</v>
      </c>
      <c r="AK11">
        <v>17.774999999999999</v>
      </c>
      <c r="AL11">
        <v>0.2</v>
      </c>
      <c r="AM11">
        <v>13254.8</v>
      </c>
      <c r="AN11">
        <v>1749</v>
      </c>
      <c r="AO11">
        <v>101.22</v>
      </c>
      <c r="AP11">
        <v>10.14</v>
      </c>
      <c r="AR11">
        <v>17.774999999999999</v>
      </c>
      <c r="AS11">
        <v>0.2</v>
      </c>
      <c r="AT11">
        <v>13253</v>
      </c>
      <c r="AU11">
        <v>1749</v>
      </c>
      <c r="AV11">
        <v>72.42</v>
      </c>
      <c r="AW11">
        <v>10.14</v>
      </c>
      <c r="AY11">
        <v>17.774999999999999</v>
      </c>
      <c r="AZ11">
        <v>0.2</v>
      </c>
      <c r="BA11">
        <v>13168.9</v>
      </c>
      <c r="BB11">
        <v>1749</v>
      </c>
      <c r="BC11">
        <v>43.26</v>
      </c>
      <c r="BD11">
        <v>10.46</v>
      </c>
      <c r="BF11" s="52">
        <v>7.6</v>
      </c>
      <c r="BG11">
        <v>61429</v>
      </c>
      <c r="BH11">
        <v>60609</v>
      </c>
      <c r="BI11">
        <v>59788</v>
      </c>
      <c r="BJ11">
        <v>58967</v>
      </c>
      <c r="BK11">
        <v>58147</v>
      </c>
      <c r="BL11">
        <v>57326</v>
      </c>
      <c r="BM11">
        <v>56505</v>
      </c>
      <c r="BN11">
        <v>55685</v>
      </c>
      <c r="BO11">
        <v>54864</v>
      </c>
      <c r="BP11">
        <v>54043</v>
      </c>
      <c r="BQ11">
        <v>53222</v>
      </c>
      <c r="BR11">
        <v>52402</v>
      </c>
      <c r="BS11">
        <v>51581</v>
      </c>
      <c r="BT11">
        <v>50760</v>
      </c>
      <c r="BU11">
        <v>49940</v>
      </c>
      <c r="BV11">
        <v>49119</v>
      </c>
      <c r="BW11">
        <v>48298</v>
      </c>
      <c r="BX11">
        <v>47478</v>
      </c>
      <c r="BY11">
        <v>46657</v>
      </c>
      <c r="BZ11">
        <v>45836</v>
      </c>
      <c r="CA11">
        <v>45015</v>
      </c>
      <c r="CB11">
        <v>44195</v>
      </c>
      <c r="CC11">
        <v>43374</v>
      </c>
      <c r="CD11">
        <v>42553</v>
      </c>
      <c r="CE11">
        <v>41733</v>
      </c>
      <c r="CF11">
        <v>40912</v>
      </c>
      <c r="CG11">
        <v>40092</v>
      </c>
      <c r="CH11">
        <v>39271</v>
      </c>
      <c r="CI11">
        <v>38450</v>
      </c>
      <c r="CJ11">
        <v>37630</v>
      </c>
      <c r="CL11" s="52">
        <v>7.6</v>
      </c>
      <c r="CM11">
        <v>1.33</v>
      </c>
      <c r="CN11">
        <v>2.6760000000000002</v>
      </c>
      <c r="CO11">
        <v>3.2189999999999999</v>
      </c>
      <c r="CP11">
        <v>5.4290000000000003</v>
      </c>
      <c r="CQ11">
        <v>8.1479999999999997</v>
      </c>
      <c r="CR11">
        <v>10.115</v>
      </c>
      <c r="CS11">
        <v>11.14</v>
      </c>
      <c r="CT11">
        <v>11.65</v>
      </c>
      <c r="CU11">
        <v>11.413</v>
      </c>
      <c r="CW11" s="52">
        <v>7.6</v>
      </c>
      <c r="CX11">
        <v>1.34</v>
      </c>
      <c r="CY11">
        <v>2.6970000000000001</v>
      </c>
      <c r="CZ11">
        <v>3.2440000000000002</v>
      </c>
      <c r="DA11">
        <v>5.47</v>
      </c>
      <c r="DB11">
        <v>8.1950000000000003</v>
      </c>
      <c r="DC11">
        <v>10.157</v>
      </c>
      <c r="DD11">
        <v>11.162000000000001</v>
      </c>
      <c r="DE11">
        <v>11.667</v>
      </c>
      <c r="DF11">
        <v>11.429</v>
      </c>
    </row>
    <row r="12" spans="1:110" ht="15" x14ac:dyDescent="0.35">
      <c r="B12" s="52" t="s">
        <v>9</v>
      </c>
      <c r="C12" s="23">
        <v>13346.9</v>
      </c>
      <c r="D12" s="23">
        <v>13080</v>
      </c>
      <c r="E12" s="23">
        <v>72.42</v>
      </c>
      <c r="F12" s="23">
        <v>0</v>
      </c>
      <c r="G12" s="23">
        <v>10.210000000000001</v>
      </c>
      <c r="H12" s="23">
        <v>63136</v>
      </c>
      <c r="J12" s="54" t="s">
        <v>91</v>
      </c>
      <c r="K12" s="20">
        <v>11044.1</v>
      </c>
      <c r="M12" s="20" t="s">
        <v>323</v>
      </c>
      <c r="N12" s="20">
        <v>12.801</v>
      </c>
      <c r="O12" s="20">
        <v>66105</v>
      </c>
      <c r="P12" s="20">
        <v>55061</v>
      </c>
      <c r="R12" s="52" t="s">
        <v>110</v>
      </c>
      <c r="S12" s="23">
        <v>14.4</v>
      </c>
      <c r="T12" s="23">
        <v>0.2</v>
      </c>
      <c r="W12" s="39">
        <v>17.375</v>
      </c>
      <c r="X12">
        <v>0.4</v>
      </c>
      <c r="Y12">
        <v>12271.4</v>
      </c>
      <c r="Z12">
        <v>2113</v>
      </c>
      <c r="AA12">
        <v>158.6</v>
      </c>
      <c r="AB12">
        <v>9.99</v>
      </c>
      <c r="AD12">
        <v>17.574999999999999</v>
      </c>
      <c r="AE12">
        <v>0.4</v>
      </c>
      <c r="AF12">
        <v>13156.4</v>
      </c>
      <c r="AG12">
        <v>2603</v>
      </c>
      <c r="AH12">
        <v>130.02000000000001</v>
      </c>
      <c r="AI12">
        <v>10.07</v>
      </c>
      <c r="AK12">
        <v>17.574999999999999</v>
      </c>
      <c r="AL12">
        <v>0.4</v>
      </c>
      <c r="AM12">
        <v>13158.2</v>
      </c>
      <c r="AN12">
        <v>2603</v>
      </c>
      <c r="AO12">
        <v>101.22</v>
      </c>
      <c r="AP12">
        <v>10.07</v>
      </c>
      <c r="AR12">
        <v>17.574999999999999</v>
      </c>
      <c r="AS12">
        <v>0.4</v>
      </c>
      <c r="AT12">
        <v>13156.5</v>
      </c>
      <c r="AU12">
        <v>2603</v>
      </c>
      <c r="AV12">
        <v>72.42</v>
      </c>
      <c r="AW12">
        <v>10.07</v>
      </c>
      <c r="AY12">
        <v>17.574999999999999</v>
      </c>
      <c r="AZ12">
        <v>0.4</v>
      </c>
      <c r="BA12">
        <v>13072.3</v>
      </c>
      <c r="BB12">
        <v>2603</v>
      </c>
      <c r="BC12">
        <v>43.25</v>
      </c>
      <c r="BD12">
        <v>10.39</v>
      </c>
      <c r="BF12" s="52">
        <v>7.7</v>
      </c>
      <c r="BG12">
        <v>61597</v>
      </c>
      <c r="BH12">
        <v>60765</v>
      </c>
      <c r="BI12">
        <v>59932</v>
      </c>
      <c r="BJ12">
        <v>59100</v>
      </c>
      <c r="BK12">
        <v>58267</v>
      </c>
      <c r="BL12">
        <v>57435</v>
      </c>
      <c r="BM12">
        <v>56602</v>
      </c>
      <c r="BN12">
        <v>55770</v>
      </c>
      <c r="BO12">
        <v>54938</v>
      </c>
      <c r="BP12">
        <v>54105</v>
      </c>
      <c r="BQ12">
        <v>53272</v>
      </c>
      <c r="BR12">
        <v>52440</v>
      </c>
      <c r="BS12">
        <v>51607</v>
      </c>
      <c r="BT12">
        <v>50775</v>
      </c>
      <c r="BU12">
        <v>49942</v>
      </c>
      <c r="BV12">
        <v>49110</v>
      </c>
      <c r="BW12">
        <v>48277</v>
      </c>
      <c r="BX12">
        <v>47445</v>
      </c>
      <c r="BY12">
        <v>46613</v>
      </c>
      <c r="BZ12">
        <v>45780</v>
      </c>
      <c r="CA12">
        <v>44947</v>
      </c>
      <c r="CB12">
        <v>44115</v>
      </c>
      <c r="CC12">
        <v>43282</v>
      </c>
      <c r="CD12">
        <v>42450</v>
      </c>
      <c r="CE12">
        <v>41617</v>
      </c>
      <c r="CF12">
        <v>40785</v>
      </c>
      <c r="CG12">
        <v>39953</v>
      </c>
      <c r="CH12">
        <v>39120</v>
      </c>
      <c r="CI12">
        <v>38288</v>
      </c>
      <c r="CJ12">
        <v>37456</v>
      </c>
      <c r="CL12" s="52">
        <v>7.7</v>
      </c>
      <c r="CM12">
        <v>1.3220000000000001</v>
      </c>
      <c r="CN12">
        <v>2.6619999999999999</v>
      </c>
      <c r="CO12">
        <v>3.202</v>
      </c>
      <c r="CP12">
        <v>5.399</v>
      </c>
      <c r="CQ12">
        <v>8.1210000000000004</v>
      </c>
      <c r="CR12">
        <v>10.087</v>
      </c>
      <c r="CS12">
        <v>11.115</v>
      </c>
      <c r="CT12">
        <v>11.635999999999999</v>
      </c>
      <c r="CU12">
        <v>11.406000000000001</v>
      </c>
      <c r="CW12" s="52">
        <v>7.7</v>
      </c>
      <c r="CX12">
        <v>1.3320000000000001</v>
      </c>
      <c r="CY12">
        <v>2.6819999999999999</v>
      </c>
      <c r="CZ12">
        <v>3.226</v>
      </c>
      <c r="DA12">
        <v>5.4390000000000001</v>
      </c>
      <c r="DB12">
        <v>8.1669999999999998</v>
      </c>
      <c r="DC12">
        <v>10.129</v>
      </c>
      <c r="DD12">
        <v>11.137</v>
      </c>
      <c r="DE12">
        <v>11.653</v>
      </c>
      <c r="DF12">
        <v>11.420999999999999</v>
      </c>
    </row>
    <row r="13" spans="1:110" ht="15" x14ac:dyDescent="0.35">
      <c r="B13" s="52" t="s">
        <v>10</v>
      </c>
      <c r="C13" s="20">
        <v>13271.5</v>
      </c>
      <c r="D13" s="20">
        <v>13006.1</v>
      </c>
      <c r="E13" s="20">
        <v>43.26</v>
      </c>
      <c r="F13" s="20">
        <v>0</v>
      </c>
      <c r="G13" s="20">
        <v>10.52</v>
      </c>
      <c r="H13" s="20">
        <v>66827</v>
      </c>
      <c r="J13" s="52" t="s">
        <v>15</v>
      </c>
      <c r="K13" s="23">
        <v>84.08</v>
      </c>
      <c r="M13" s="23" t="s">
        <v>103</v>
      </c>
      <c r="N13" s="23">
        <v>12.54</v>
      </c>
      <c r="O13" s="23">
        <v>64609</v>
      </c>
      <c r="P13" s="23">
        <v>53565</v>
      </c>
      <c r="R13" s="52" t="s">
        <v>111</v>
      </c>
      <c r="S13" s="20">
        <v>0.85</v>
      </c>
      <c r="T13" s="20">
        <v>0.85</v>
      </c>
      <c r="W13" s="39">
        <v>17.175000000000001</v>
      </c>
      <c r="X13">
        <v>0.6</v>
      </c>
      <c r="Y13">
        <v>12190.4</v>
      </c>
      <c r="Z13">
        <v>2770</v>
      </c>
      <c r="AA13">
        <v>158.61000000000001</v>
      </c>
      <c r="AB13">
        <v>9.93</v>
      </c>
      <c r="AD13">
        <v>17.375</v>
      </c>
      <c r="AE13">
        <v>0.6</v>
      </c>
      <c r="AF13">
        <v>13059.9</v>
      </c>
      <c r="AG13">
        <v>3384</v>
      </c>
      <c r="AH13">
        <v>130.02000000000001</v>
      </c>
      <c r="AI13">
        <v>10</v>
      </c>
      <c r="AK13">
        <v>17.375</v>
      </c>
      <c r="AL13">
        <v>0.6</v>
      </c>
      <c r="AM13">
        <v>13061.7</v>
      </c>
      <c r="AN13">
        <v>3384</v>
      </c>
      <c r="AO13">
        <v>101.22</v>
      </c>
      <c r="AP13">
        <v>10</v>
      </c>
      <c r="AR13">
        <v>17.375</v>
      </c>
      <c r="AS13">
        <v>0.6</v>
      </c>
      <c r="AT13">
        <v>13059.9</v>
      </c>
      <c r="AU13">
        <v>3384</v>
      </c>
      <c r="AV13">
        <v>72.42</v>
      </c>
      <c r="AW13">
        <v>10</v>
      </c>
      <c r="AY13">
        <v>17.375</v>
      </c>
      <c r="AZ13">
        <v>0.6</v>
      </c>
      <c r="BA13">
        <v>12975.8</v>
      </c>
      <c r="BB13">
        <v>3384</v>
      </c>
      <c r="BC13">
        <v>43.25</v>
      </c>
      <c r="BD13">
        <v>10.32</v>
      </c>
      <c r="BF13" s="52">
        <v>7.8</v>
      </c>
      <c r="BG13">
        <v>61776</v>
      </c>
      <c r="BH13">
        <v>60932</v>
      </c>
      <c r="BI13">
        <v>60087</v>
      </c>
      <c r="BJ13">
        <v>59243</v>
      </c>
      <c r="BK13">
        <v>58399</v>
      </c>
      <c r="BL13">
        <v>57554</v>
      </c>
      <c r="BM13">
        <v>56710</v>
      </c>
      <c r="BN13">
        <v>55866</v>
      </c>
      <c r="BO13">
        <v>55022</v>
      </c>
      <c r="BP13">
        <v>54177</v>
      </c>
      <c r="BQ13">
        <v>53332</v>
      </c>
      <c r="BR13">
        <v>52488</v>
      </c>
      <c r="BS13">
        <v>51644</v>
      </c>
      <c r="BT13">
        <v>50799</v>
      </c>
      <c r="BU13">
        <v>49955</v>
      </c>
      <c r="BV13">
        <v>49111</v>
      </c>
      <c r="BW13">
        <v>48267</v>
      </c>
      <c r="BX13">
        <v>47422</v>
      </c>
      <c r="BY13">
        <v>46578</v>
      </c>
      <c r="BZ13">
        <v>45734</v>
      </c>
      <c r="CA13">
        <v>44889</v>
      </c>
      <c r="CB13">
        <v>44045</v>
      </c>
      <c r="CC13">
        <v>43201</v>
      </c>
      <c r="CD13">
        <v>42356</v>
      </c>
      <c r="CE13">
        <v>41512</v>
      </c>
      <c r="CF13">
        <v>40668</v>
      </c>
      <c r="CG13">
        <v>39824</v>
      </c>
      <c r="CH13">
        <v>38980</v>
      </c>
      <c r="CI13">
        <v>38135</v>
      </c>
      <c r="CJ13">
        <v>37291</v>
      </c>
      <c r="CL13" s="52">
        <v>7.8</v>
      </c>
      <c r="CM13">
        <v>1.3149999999999999</v>
      </c>
      <c r="CN13">
        <v>2.6469999999999998</v>
      </c>
      <c r="CO13">
        <v>3.1840000000000002</v>
      </c>
      <c r="CP13">
        <v>5.37</v>
      </c>
      <c r="CQ13">
        <v>8.0939999999999994</v>
      </c>
      <c r="CR13">
        <v>10.058999999999999</v>
      </c>
      <c r="CS13">
        <v>11.090999999999999</v>
      </c>
      <c r="CT13">
        <v>11.622999999999999</v>
      </c>
      <c r="CU13">
        <v>11.398999999999999</v>
      </c>
      <c r="CW13" s="52">
        <v>7.8</v>
      </c>
      <c r="CX13">
        <v>1.325</v>
      </c>
      <c r="CY13">
        <v>2.6669999999999998</v>
      </c>
      <c r="CZ13">
        <v>3.2080000000000002</v>
      </c>
      <c r="DA13">
        <v>5.4089999999999998</v>
      </c>
      <c r="DB13">
        <v>8.14</v>
      </c>
      <c r="DC13">
        <v>10.1</v>
      </c>
      <c r="DD13">
        <v>11.113</v>
      </c>
      <c r="DE13">
        <v>11.638999999999999</v>
      </c>
      <c r="DF13">
        <v>11.414</v>
      </c>
    </row>
    <row r="14" spans="1:110" ht="15" x14ac:dyDescent="0.35">
      <c r="B14" s="18"/>
      <c r="C14" s="18"/>
      <c r="D14" s="18"/>
      <c r="E14" s="18"/>
      <c r="F14" s="18"/>
      <c r="G14" s="18"/>
      <c r="H14" s="18"/>
      <c r="J14" s="52" t="s">
        <v>17</v>
      </c>
      <c r="K14" s="20">
        <v>11.85</v>
      </c>
      <c r="M14" s="20" t="s">
        <v>104</v>
      </c>
      <c r="N14" s="20">
        <v>12.279</v>
      </c>
      <c r="O14" s="20">
        <v>63116</v>
      </c>
      <c r="P14" s="20">
        <v>52072</v>
      </c>
      <c r="R14" s="52" t="s">
        <v>112</v>
      </c>
      <c r="S14" s="23">
        <v>183.25</v>
      </c>
      <c r="T14" s="23">
        <v>183.25</v>
      </c>
      <c r="W14" s="39">
        <v>16.975000000000001</v>
      </c>
      <c r="X14">
        <v>0.8</v>
      </c>
      <c r="Y14">
        <v>12108.6</v>
      </c>
      <c r="Z14">
        <v>3390</v>
      </c>
      <c r="AA14">
        <v>158.62</v>
      </c>
      <c r="AB14">
        <v>9.8699999999999992</v>
      </c>
      <c r="AD14">
        <v>17.175000000000001</v>
      </c>
      <c r="AE14">
        <v>0.8</v>
      </c>
      <c r="AF14">
        <v>12963.3</v>
      </c>
      <c r="AG14">
        <v>4122</v>
      </c>
      <c r="AH14">
        <v>130.02000000000001</v>
      </c>
      <c r="AI14">
        <v>9.94</v>
      </c>
      <c r="AK14">
        <v>17.175000000000001</v>
      </c>
      <c r="AL14">
        <v>0.8</v>
      </c>
      <c r="AM14">
        <v>12965.1</v>
      </c>
      <c r="AN14">
        <v>4122</v>
      </c>
      <c r="AO14">
        <v>101.22</v>
      </c>
      <c r="AP14">
        <v>9.94</v>
      </c>
      <c r="AR14">
        <v>17.175000000000001</v>
      </c>
      <c r="AS14">
        <v>0.8</v>
      </c>
      <c r="AT14">
        <v>12963.4</v>
      </c>
      <c r="AU14">
        <v>4122</v>
      </c>
      <c r="AV14">
        <v>72.42</v>
      </c>
      <c r="AW14">
        <v>9.94</v>
      </c>
      <c r="AY14">
        <v>17.175000000000001</v>
      </c>
      <c r="AZ14">
        <v>0.8</v>
      </c>
      <c r="BA14">
        <v>12879.2</v>
      </c>
      <c r="BB14">
        <v>4120</v>
      </c>
      <c r="BC14">
        <v>43.25</v>
      </c>
      <c r="BD14">
        <v>10.26</v>
      </c>
      <c r="BF14" s="52">
        <v>7.9</v>
      </c>
      <c r="BG14">
        <v>61966</v>
      </c>
      <c r="BH14">
        <v>61110</v>
      </c>
      <c r="BI14">
        <v>60254</v>
      </c>
      <c r="BJ14">
        <v>59397</v>
      </c>
      <c r="BK14">
        <v>58541</v>
      </c>
      <c r="BL14">
        <v>57685</v>
      </c>
      <c r="BM14">
        <v>56829</v>
      </c>
      <c r="BN14">
        <v>55973</v>
      </c>
      <c r="BO14">
        <v>55117</v>
      </c>
      <c r="BP14">
        <v>54260</v>
      </c>
      <c r="BQ14">
        <v>53404</v>
      </c>
      <c r="BR14">
        <v>52547</v>
      </c>
      <c r="BS14">
        <v>51691</v>
      </c>
      <c r="BT14">
        <v>50835</v>
      </c>
      <c r="BU14">
        <v>49979</v>
      </c>
      <c r="BV14">
        <v>49123</v>
      </c>
      <c r="BW14">
        <v>48267</v>
      </c>
      <c r="BX14">
        <v>47411</v>
      </c>
      <c r="BY14">
        <v>46555</v>
      </c>
      <c r="BZ14">
        <v>45698</v>
      </c>
      <c r="CA14">
        <v>44842</v>
      </c>
      <c r="CB14">
        <v>43986</v>
      </c>
      <c r="CC14">
        <v>43130</v>
      </c>
      <c r="CD14">
        <v>42274</v>
      </c>
      <c r="CE14">
        <v>41418</v>
      </c>
      <c r="CF14">
        <v>40562</v>
      </c>
      <c r="CG14">
        <v>39705</v>
      </c>
      <c r="CH14">
        <v>38849</v>
      </c>
      <c r="CI14">
        <v>37993</v>
      </c>
      <c r="CJ14">
        <v>37137</v>
      </c>
      <c r="CL14" s="52">
        <v>7.9</v>
      </c>
      <c r="CM14">
        <v>1.3080000000000001</v>
      </c>
      <c r="CN14">
        <v>2.6339999999999999</v>
      </c>
      <c r="CO14">
        <v>3.1680000000000001</v>
      </c>
      <c r="CP14">
        <v>5.3419999999999996</v>
      </c>
      <c r="CQ14">
        <v>8.0670000000000002</v>
      </c>
      <c r="CR14">
        <v>10.029</v>
      </c>
      <c r="CS14">
        <v>11.068</v>
      </c>
      <c r="CT14">
        <v>11.608000000000001</v>
      </c>
      <c r="CU14">
        <v>11.391</v>
      </c>
      <c r="CW14" s="52">
        <v>7.9</v>
      </c>
      <c r="CX14">
        <v>1.3180000000000001</v>
      </c>
      <c r="CY14">
        <v>2.653</v>
      </c>
      <c r="CZ14">
        <v>3.1909999999999998</v>
      </c>
      <c r="DA14">
        <v>5.3810000000000002</v>
      </c>
      <c r="DB14">
        <v>8.1129999999999995</v>
      </c>
      <c r="DC14">
        <v>10.071</v>
      </c>
      <c r="DD14">
        <v>11.089</v>
      </c>
      <c r="DE14">
        <v>11.624000000000001</v>
      </c>
      <c r="DF14">
        <v>11.404999999999999</v>
      </c>
    </row>
    <row r="15" spans="1:110" ht="15" x14ac:dyDescent="0.35">
      <c r="B15" s="52" t="s">
        <v>12</v>
      </c>
      <c r="C15" s="23">
        <v>65752</v>
      </c>
      <c r="D15" s="23">
        <v>64437</v>
      </c>
      <c r="E15" s="23">
        <v>100.38</v>
      </c>
      <c r="F15" s="23">
        <v>0</v>
      </c>
      <c r="G15" s="23">
        <v>10.26</v>
      </c>
      <c r="H15" s="18"/>
      <c r="J15" s="18"/>
      <c r="K15" s="18"/>
      <c r="W15" s="39">
        <v>16.774999999999999</v>
      </c>
      <c r="X15">
        <v>1</v>
      </c>
      <c r="Y15">
        <v>12026.1</v>
      </c>
      <c r="Z15">
        <v>4032</v>
      </c>
      <c r="AA15">
        <v>158.62</v>
      </c>
      <c r="AB15">
        <v>9.81</v>
      </c>
      <c r="AD15">
        <v>16.975000000000001</v>
      </c>
      <c r="AE15">
        <v>1</v>
      </c>
      <c r="AF15">
        <v>12867</v>
      </c>
      <c r="AG15">
        <v>4943</v>
      </c>
      <c r="AH15">
        <v>130.02000000000001</v>
      </c>
      <c r="AI15">
        <v>9.8699999999999992</v>
      </c>
      <c r="AK15">
        <v>16.975000000000001</v>
      </c>
      <c r="AL15">
        <v>1</v>
      </c>
      <c r="AM15">
        <v>12868.6</v>
      </c>
      <c r="AN15">
        <v>4943</v>
      </c>
      <c r="AO15">
        <v>101.22</v>
      </c>
      <c r="AP15">
        <v>9.8699999999999992</v>
      </c>
      <c r="AR15">
        <v>16.975000000000001</v>
      </c>
      <c r="AS15">
        <v>1</v>
      </c>
      <c r="AT15">
        <v>12866.8</v>
      </c>
      <c r="AU15">
        <v>4943</v>
      </c>
      <c r="AV15">
        <v>72.42</v>
      </c>
      <c r="AW15">
        <v>9.8699999999999992</v>
      </c>
      <c r="AY15">
        <v>16.975000000000001</v>
      </c>
      <c r="AZ15">
        <v>1</v>
      </c>
      <c r="BA15">
        <v>12782.7</v>
      </c>
      <c r="BB15">
        <v>4934</v>
      </c>
      <c r="BC15">
        <v>43.24</v>
      </c>
      <c r="BD15">
        <v>10.19</v>
      </c>
      <c r="BF15" s="52">
        <v>8</v>
      </c>
      <c r="BG15">
        <v>62180</v>
      </c>
      <c r="BH15">
        <v>61312</v>
      </c>
      <c r="BI15">
        <v>60444</v>
      </c>
      <c r="BJ15">
        <v>59576</v>
      </c>
      <c r="BK15">
        <v>58708</v>
      </c>
      <c r="BL15">
        <v>57840</v>
      </c>
      <c r="BM15">
        <v>56972</v>
      </c>
      <c r="BN15">
        <v>56104</v>
      </c>
      <c r="BO15">
        <v>55236</v>
      </c>
      <c r="BP15">
        <v>54368</v>
      </c>
      <c r="BQ15">
        <v>53500</v>
      </c>
      <c r="BR15">
        <v>52632</v>
      </c>
      <c r="BS15">
        <v>51764</v>
      </c>
      <c r="BT15">
        <v>50896</v>
      </c>
      <c r="BU15">
        <v>50028</v>
      </c>
      <c r="BV15">
        <v>49159</v>
      </c>
      <c r="BW15">
        <v>48292</v>
      </c>
      <c r="BX15">
        <v>47423</v>
      </c>
      <c r="BY15">
        <v>46556</v>
      </c>
      <c r="BZ15">
        <v>45687</v>
      </c>
      <c r="CA15">
        <v>44819</v>
      </c>
      <c r="CB15">
        <v>43951</v>
      </c>
      <c r="CC15">
        <v>43083</v>
      </c>
      <c r="CD15">
        <v>42215</v>
      </c>
      <c r="CE15">
        <v>41347</v>
      </c>
      <c r="CF15">
        <v>40479</v>
      </c>
      <c r="CG15">
        <v>39611</v>
      </c>
      <c r="CH15">
        <v>38743</v>
      </c>
      <c r="CI15">
        <v>37875</v>
      </c>
      <c r="CJ15">
        <v>37007</v>
      </c>
      <c r="CL15" s="52">
        <v>8</v>
      </c>
      <c r="CM15">
        <v>1.302</v>
      </c>
      <c r="CN15">
        <v>2.62</v>
      </c>
      <c r="CO15">
        <v>3.1520000000000001</v>
      </c>
      <c r="CP15">
        <v>5.3150000000000004</v>
      </c>
      <c r="CQ15">
        <v>8.0410000000000004</v>
      </c>
      <c r="CR15">
        <v>10</v>
      </c>
      <c r="CS15">
        <v>11.045</v>
      </c>
      <c r="CT15">
        <v>11.593</v>
      </c>
      <c r="CU15">
        <v>11.382999999999999</v>
      </c>
      <c r="CW15" s="52">
        <v>8</v>
      </c>
      <c r="CX15">
        <v>1.3120000000000001</v>
      </c>
      <c r="CY15">
        <v>2.64</v>
      </c>
      <c r="CZ15">
        <v>3.1749999999999998</v>
      </c>
      <c r="DA15">
        <v>5.3529999999999998</v>
      </c>
      <c r="DB15">
        <v>8.0860000000000003</v>
      </c>
      <c r="DC15">
        <v>10.041</v>
      </c>
      <c r="DD15">
        <v>11.066000000000001</v>
      </c>
      <c r="DE15">
        <v>11.609</v>
      </c>
      <c r="DF15">
        <v>11.397</v>
      </c>
    </row>
    <row r="16" spans="1:110" ht="15" x14ac:dyDescent="0.35">
      <c r="J16" s="52" t="s">
        <v>96</v>
      </c>
      <c r="K16" s="23">
        <v>45.6</v>
      </c>
      <c r="W16" s="39">
        <v>16.574999999999999</v>
      </c>
      <c r="X16">
        <v>1.2</v>
      </c>
      <c r="Y16">
        <v>11942.9</v>
      </c>
      <c r="Z16">
        <v>4685</v>
      </c>
      <c r="AA16">
        <v>158.63</v>
      </c>
      <c r="AB16">
        <v>9.75</v>
      </c>
      <c r="AD16">
        <v>16.774999999999999</v>
      </c>
      <c r="AE16">
        <v>1.2</v>
      </c>
      <c r="AF16">
        <v>12770.2</v>
      </c>
      <c r="AG16">
        <v>5781</v>
      </c>
      <c r="AH16">
        <v>130.02000000000001</v>
      </c>
      <c r="AI16">
        <v>9.8000000000000007</v>
      </c>
      <c r="AK16">
        <v>16.774999999999999</v>
      </c>
      <c r="AL16">
        <v>1.2</v>
      </c>
      <c r="AM16">
        <v>12772</v>
      </c>
      <c r="AN16">
        <v>5781</v>
      </c>
      <c r="AO16">
        <v>101.22</v>
      </c>
      <c r="AP16">
        <v>9.8000000000000007</v>
      </c>
      <c r="AR16">
        <v>16.774999999999999</v>
      </c>
      <c r="AS16">
        <v>1.2</v>
      </c>
      <c r="AT16">
        <v>12770.3</v>
      </c>
      <c r="AU16">
        <v>5781</v>
      </c>
      <c r="AV16">
        <v>72.42</v>
      </c>
      <c r="AW16">
        <v>9.8000000000000007</v>
      </c>
      <c r="AY16">
        <v>16.774999999999999</v>
      </c>
      <c r="AZ16">
        <v>1.2</v>
      </c>
      <c r="BA16">
        <v>12686.1</v>
      </c>
      <c r="BB16">
        <v>5767</v>
      </c>
      <c r="BC16">
        <v>43.24</v>
      </c>
      <c r="BD16">
        <v>10.130000000000001</v>
      </c>
      <c r="BF16" s="52">
        <v>8.1</v>
      </c>
      <c r="BG16">
        <v>62394</v>
      </c>
      <c r="BH16">
        <v>61514</v>
      </c>
      <c r="BI16">
        <v>60635</v>
      </c>
      <c r="BJ16">
        <v>59755</v>
      </c>
      <c r="BK16">
        <v>58875</v>
      </c>
      <c r="BL16">
        <v>57995</v>
      </c>
      <c r="BM16">
        <v>57115</v>
      </c>
      <c r="BN16">
        <v>56235</v>
      </c>
      <c r="BO16">
        <v>55355</v>
      </c>
      <c r="BP16">
        <v>54475</v>
      </c>
      <c r="BQ16">
        <v>53594</v>
      </c>
      <c r="BR16">
        <v>52715</v>
      </c>
      <c r="BS16">
        <v>51835</v>
      </c>
      <c r="BT16">
        <v>50955</v>
      </c>
      <c r="BU16">
        <v>50075</v>
      </c>
      <c r="BV16">
        <v>49195</v>
      </c>
      <c r="BW16">
        <v>48315</v>
      </c>
      <c r="BX16">
        <v>47435</v>
      </c>
      <c r="BY16">
        <v>46555</v>
      </c>
      <c r="BZ16">
        <v>45675</v>
      </c>
      <c r="CA16">
        <v>44795</v>
      </c>
      <c r="CB16">
        <v>43915</v>
      </c>
      <c r="CC16">
        <v>43035</v>
      </c>
      <c r="CD16">
        <v>42155</v>
      </c>
      <c r="CE16">
        <v>41275</v>
      </c>
      <c r="CF16">
        <v>40395</v>
      </c>
      <c r="CG16">
        <v>39516</v>
      </c>
      <c r="CH16">
        <v>38636</v>
      </c>
      <c r="CI16">
        <v>37756</v>
      </c>
      <c r="CJ16">
        <v>36876</v>
      </c>
      <c r="CL16" s="52">
        <v>8.1</v>
      </c>
      <c r="CM16">
        <v>1.296</v>
      </c>
      <c r="CN16">
        <v>2.6080000000000001</v>
      </c>
      <c r="CO16">
        <v>3.137</v>
      </c>
      <c r="CP16">
        <v>5.2889999999999997</v>
      </c>
      <c r="CQ16">
        <v>8.0150000000000006</v>
      </c>
      <c r="CR16">
        <v>9.9700000000000006</v>
      </c>
      <c r="CS16">
        <v>11.023</v>
      </c>
      <c r="CT16">
        <v>11.577999999999999</v>
      </c>
      <c r="CU16">
        <v>11.375</v>
      </c>
      <c r="CW16" s="52">
        <v>8.1</v>
      </c>
      <c r="CX16">
        <v>1.3049999999999999</v>
      </c>
      <c r="CY16">
        <v>2.6269999999999998</v>
      </c>
      <c r="CZ16">
        <v>3.1589999999999998</v>
      </c>
      <c r="DA16">
        <v>5.3259999999999996</v>
      </c>
      <c r="DB16">
        <v>8.06</v>
      </c>
      <c r="DC16">
        <v>10.01</v>
      </c>
      <c r="DD16">
        <v>11.042999999999999</v>
      </c>
      <c r="DE16">
        <v>11.593</v>
      </c>
      <c r="DF16">
        <v>11.388</v>
      </c>
    </row>
    <row r="17" spans="2:110" ht="15" x14ac:dyDescent="0.35">
      <c r="W17" s="39">
        <v>16.375</v>
      </c>
      <c r="X17">
        <v>1.4</v>
      </c>
      <c r="Y17">
        <v>11859</v>
      </c>
      <c r="Z17">
        <v>5328</v>
      </c>
      <c r="AA17">
        <v>158.63999999999999</v>
      </c>
      <c r="AB17">
        <v>9.69</v>
      </c>
      <c r="AD17">
        <v>16.574999999999999</v>
      </c>
      <c r="AE17">
        <v>1.4</v>
      </c>
      <c r="AF17">
        <v>12673.7</v>
      </c>
      <c r="AG17">
        <v>6581</v>
      </c>
      <c r="AH17">
        <v>130.02000000000001</v>
      </c>
      <c r="AI17">
        <v>9.74</v>
      </c>
      <c r="AK17">
        <v>16.574999999999999</v>
      </c>
      <c r="AL17">
        <v>1.4</v>
      </c>
      <c r="AM17">
        <v>12675.5</v>
      </c>
      <c r="AN17">
        <v>6581</v>
      </c>
      <c r="AO17">
        <v>101.22</v>
      </c>
      <c r="AP17">
        <v>9.74</v>
      </c>
      <c r="AR17">
        <v>16.574999999999999</v>
      </c>
      <c r="AS17">
        <v>1.4</v>
      </c>
      <c r="AT17">
        <v>12673.7</v>
      </c>
      <c r="AU17">
        <v>6581</v>
      </c>
      <c r="AV17">
        <v>72.42</v>
      </c>
      <c r="AW17">
        <v>9.74</v>
      </c>
      <c r="AY17">
        <v>16.574999999999999</v>
      </c>
      <c r="AZ17">
        <v>1.4</v>
      </c>
      <c r="BA17">
        <v>12589.6</v>
      </c>
      <c r="BB17">
        <v>6565</v>
      </c>
      <c r="BC17">
        <v>43.24</v>
      </c>
      <c r="BD17">
        <v>10.06</v>
      </c>
      <c r="BF17" s="52">
        <v>8.1999999999999993</v>
      </c>
      <c r="BG17">
        <v>62618</v>
      </c>
      <c r="BH17">
        <v>61726</v>
      </c>
      <c r="BI17">
        <v>60834</v>
      </c>
      <c r="BJ17">
        <v>59942</v>
      </c>
      <c r="BK17">
        <v>59051</v>
      </c>
      <c r="BL17">
        <v>58159</v>
      </c>
      <c r="BM17">
        <v>57267</v>
      </c>
      <c r="BN17">
        <v>56375</v>
      </c>
      <c r="BO17">
        <v>55483</v>
      </c>
      <c r="BP17">
        <v>54591</v>
      </c>
      <c r="BQ17">
        <v>53699</v>
      </c>
      <c r="BR17">
        <v>52807</v>
      </c>
      <c r="BS17">
        <v>51915</v>
      </c>
      <c r="BT17">
        <v>51023</v>
      </c>
      <c r="BU17">
        <v>50131</v>
      </c>
      <c r="BV17">
        <v>49239</v>
      </c>
      <c r="BW17">
        <v>48348</v>
      </c>
      <c r="BX17">
        <v>47456</v>
      </c>
      <c r="BY17">
        <v>46564</v>
      </c>
      <c r="BZ17">
        <v>45672</v>
      </c>
      <c r="CA17">
        <v>44780</v>
      </c>
      <c r="CB17">
        <v>43888</v>
      </c>
      <c r="CC17">
        <v>42996</v>
      </c>
      <c r="CD17">
        <v>42104</v>
      </c>
      <c r="CE17">
        <v>41213</v>
      </c>
      <c r="CF17">
        <v>40321</v>
      </c>
      <c r="CG17">
        <v>39429</v>
      </c>
      <c r="CH17">
        <v>38537</v>
      </c>
      <c r="CI17">
        <v>37645</v>
      </c>
      <c r="CJ17">
        <v>36754</v>
      </c>
      <c r="CL17" s="52">
        <v>8.1999999999999993</v>
      </c>
      <c r="CM17">
        <v>1.29</v>
      </c>
      <c r="CN17">
        <v>2.5960000000000001</v>
      </c>
      <c r="CO17">
        <v>3.1219999999999999</v>
      </c>
      <c r="CP17">
        <v>5.2640000000000002</v>
      </c>
      <c r="CQ17">
        <v>7.9889999999999999</v>
      </c>
      <c r="CR17">
        <v>9.9390000000000001</v>
      </c>
      <c r="CS17">
        <v>11.000999999999999</v>
      </c>
      <c r="CT17">
        <v>11.561999999999999</v>
      </c>
      <c r="CU17">
        <v>11.366</v>
      </c>
      <c r="CW17" s="52">
        <v>8.1999999999999993</v>
      </c>
      <c r="CX17">
        <v>1.2989999999999999</v>
      </c>
      <c r="CY17">
        <v>2.6139999999999999</v>
      </c>
      <c r="CZ17">
        <v>3.1440000000000001</v>
      </c>
      <c r="DA17">
        <v>5.3010000000000002</v>
      </c>
      <c r="DB17">
        <v>8.0340000000000007</v>
      </c>
      <c r="DC17">
        <v>9.9789999999999992</v>
      </c>
      <c r="DD17">
        <v>11.021000000000001</v>
      </c>
      <c r="DE17">
        <v>11.577</v>
      </c>
      <c r="DF17">
        <v>11.379</v>
      </c>
    </row>
    <row r="18" spans="2:110" ht="15" x14ac:dyDescent="0.35">
      <c r="W18" s="39">
        <v>16.175000000000001</v>
      </c>
      <c r="X18">
        <v>1.6</v>
      </c>
      <c r="Y18">
        <v>11774.3</v>
      </c>
      <c r="Z18">
        <v>5952</v>
      </c>
      <c r="AA18">
        <v>158.65</v>
      </c>
      <c r="AB18">
        <v>9.6300000000000008</v>
      </c>
      <c r="AD18">
        <v>16.375</v>
      </c>
      <c r="AE18">
        <v>1.6</v>
      </c>
      <c r="AF18">
        <v>12577.1</v>
      </c>
      <c r="AG18">
        <v>7347</v>
      </c>
      <c r="AH18">
        <v>130.02000000000001</v>
      </c>
      <c r="AI18">
        <v>9.67</v>
      </c>
      <c r="AK18">
        <v>16.375</v>
      </c>
      <c r="AL18">
        <v>1.6</v>
      </c>
      <c r="AM18">
        <v>12578.9</v>
      </c>
      <c r="AN18">
        <v>7347</v>
      </c>
      <c r="AO18">
        <v>101.22</v>
      </c>
      <c r="AP18">
        <v>9.67</v>
      </c>
      <c r="AR18">
        <v>16.375</v>
      </c>
      <c r="AS18">
        <v>1.6</v>
      </c>
      <c r="AT18">
        <v>12577.1</v>
      </c>
      <c r="AU18">
        <v>7347</v>
      </c>
      <c r="AV18">
        <v>72.42</v>
      </c>
      <c r="AW18">
        <v>9.67</v>
      </c>
      <c r="AY18">
        <v>16.375</v>
      </c>
      <c r="AZ18">
        <v>1.6</v>
      </c>
      <c r="BA18">
        <v>12493</v>
      </c>
      <c r="BB18">
        <v>7330</v>
      </c>
      <c r="BC18">
        <v>43.24</v>
      </c>
      <c r="BD18">
        <v>10</v>
      </c>
      <c r="BF18" s="52">
        <v>8.3000000000000007</v>
      </c>
      <c r="BG18">
        <v>62852</v>
      </c>
      <c r="BH18">
        <v>61949</v>
      </c>
      <c r="BI18">
        <v>61045</v>
      </c>
      <c r="BJ18">
        <v>60141</v>
      </c>
      <c r="BK18">
        <v>59237</v>
      </c>
      <c r="BL18">
        <v>58333</v>
      </c>
      <c r="BM18">
        <v>57429</v>
      </c>
      <c r="BN18">
        <v>56525</v>
      </c>
      <c r="BO18">
        <v>55622</v>
      </c>
      <c r="BP18">
        <v>54718</v>
      </c>
      <c r="BQ18">
        <v>53813</v>
      </c>
      <c r="BR18">
        <v>52910</v>
      </c>
      <c r="BS18">
        <v>52006</v>
      </c>
      <c r="BT18">
        <v>51102</v>
      </c>
      <c r="BU18">
        <v>50198</v>
      </c>
      <c r="BV18">
        <v>49294</v>
      </c>
      <c r="BW18">
        <v>48391</v>
      </c>
      <c r="BX18">
        <v>47487</v>
      </c>
      <c r="BY18">
        <v>46583</v>
      </c>
      <c r="BZ18">
        <v>45679</v>
      </c>
      <c r="CA18">
        <v>44775</v>
      </c>
      <c r="CB18">
        <v>43871</v>
      </c>
      <c r="CC18">
        <v>42967</v>
      </c>
      <c r="CD18">
        <v>42064</v>
      </c>
      <c r="CE18">
        <v>41160</v>
      </c>
      <c r="CF18">
        <v>40256</v>
      </c>
      <c r="CG18">
        <v>39352</v>
      </c>
      <c r="CH18">
        <v>38449</v>
      </c>
      <c r="CI18">
        <v>37545</v>
      </c>
      <c r="CJ18">
        <v>36641</v>
      </c>
      <c r="CL18" s="52">
        <v>8.3000000000000007</v>
      </c>
      <c r="CM18">
        <v>1.284</v>
      </c>
      <c r="CN18">
        <v>2.5840000000000001</v>
      </c>
      <c r="CO18">
        <v>3.1080000000000001</v>
      </c>
      <c r="CP18">
        <v>5.24</v>
      </c>
      <c r="CQ18">
        <v>7.9630000000000001</v>
      </c>
      <c r="CR18">
        <v>9.9079999999999995</v>
      </c>
      <c r="CS18">
        <v>10.98</v>
      </c>
      <c r="CT18">
        <v>11.545999999999999</v>
      </c>
      <c r="CU18">
        <v>11.356999999999999</v>
      </c>
      <c r="CW18" s="52">
        <v>8.3000000000000007</v>
      </c>
      <c r="CX18">
        <v>1.2929999999999999</v>
      </c>
      <c r="CY18">
        <v>2.6030000000000002</v>
      </c>
      <c r="CZ18">
        <v>3.13</v>
      </c>
      <c r="DA18">
        <v>5.2759999999999998</v>
      </c>
      <c r="DB18">
        <v>8.0079999999999991</v>
      </c>
      <c r="DC18">
        <v>9.9480000000000004</v>
      </c>
      <c r="DD18">
        <v>10.999000000000001</v>
      </c>
      <c r="DE18">
        <v>11.56</v>
      </c>
      <c r="DF18">
        <v>11.369</v>
      </c>
    </row>
    <row r="19" spans="2:110" ht="15" x14ac:dyDescent="0.35">
      <c r="W19" s="39">
        <v>15.975</v>
      </c>
      <c r="X19">
        <v>1.8</v>
      </c>
      <c r="Y19">
        <v>11688.9</v>
      </c>
      <c r="Z19">
        <v>6552</v>
      </c>
      <c r="AA19">
        <v>158.65</v>
      </c>
      <c r="AB19">
        <v>9.57</v>
      </c>
      <c r="AD19">
        <v>16.175000000000001</v>
      </c>
      <c r="AE19">
        <v>1.8</v>
      </c>
      <c r="AF19">
        <v>12480.5</v>
      </c>
      <c r="AG19">
        <v>8081</v>
      </c>
      <c r="AH19">
        <v>130.02000000000001</v>
      </c>
      <c r="AI19">
        <v>9.61</v>
      </c>
      <c r="AK19">
        <v>16.175000000000001</v>
      </c>
      <c r="AL19">
        <v>1.8</v>
      </c>
      <c r="AM19">
        <v>12482.4</v>
      </c>
      <c r="AN19">
        <v>8081</v>
      </c>
      <c r="AO19">
        <v>101.22</v>
      </c>
      <c r="AP19">
        <v>9.61</v>
      </c>
      <c r="AR19">
        <v>16.175000000000001</v>
      </c>
      <c r="AS19">
        <v>1.8</v>
      </c>
      <c r="AT19">
        <v>12480.6</v>
      </c>
      <c r="AU19">
        <v>8081</v>
      </c>
      <c r="AV19">
        <v>72.42</v>
      </c>
      <c r="AW19">
        <v>9.61</v>
      </c>
      <c r="AY19">
        <v>16.175000000000001</v>
      </c>
      <c r="AZ19">
        <v>1.8</v>
      </c>
      <c r="BA19">
        <v>12396.5</v>
      </c>
      <c r="BB19">
        <v>8061</v>
      </c>
      <c r="BC19">
        <v>43.23</v>
      </c>
      <c r="BD19">
        <v>9.94</v>
      </c>
      <c r="BF19" s="52">
        <v>8.4</v>
      </c>
      <c r="BG19">
        <v>63097</v>
      </c>
      <c r="BH19">
        <v>62181</v>
      </c>
      <c r="BI19">
        <v>61265</v>
      </c>
      <c r="BJ19">
        <v>60349</v>
      </c>
      <c r="BK19">
        <v>59433</v>
      </c>
      <c r="BL19">
        <v>58518</v>
      </c>
      <c r="BM19">
        <v>57602</v>
      </c>
      <c r="BN19">
        <v>56686</v>
      </c>
      <c r="BO19">
        <v>55770</v>
      </c>
      <c r="BP19">
        <v>54854</v>
      </c>
      <c r="BQ19">
        <v>53938</v>
      </c>
      <c r="BR19">
        <v>53022</v>
      </c>
      <c r="BS19">
        <v>52107</v>
      </c>
      <c r="BT19">
        <v>51191</v>
      </c>
      <c r="BU19">
        <v>50275</v>
      </c>
      <c r="BV19">
        <v>49359</v>
      </c>
      <c r="BW19">
        <v>48443</v>
      </c>
      <c r="BX19">
        <v>47528</v>
      </c>
      <c r="BY19">
        <v>46612</v>
      </c>
      <c r="BZ19">
        <v>45696</v>
      </c>
      <c r="CA19">
        <v>44780</v>
      </c>
      <c r="CB19">
        <v>43864</v>
      </c>
      <c r="CC19">
        <v>42948</v>
      </c>
      <c r="CD19">
        <v>42032</v>
      </c>
      <c r="CE19">
        <v>41117</v>
      </c>
      <c r="CF19">
        <v>40201</v>
      </c>
      <c r="CG19">
        <v>39285</v>
      </c>
      <c r="CH19">
        <v>38369</v>
      </c>
      <c r="CI19">
        <v>37454</v>
      </c>
      <c r="CJ19">
        <v>36538</v>
      </c>
      <c r="CL19" s="52">
        <v>8.4</v>
      </c>
      <c r="CM19">
        <v>1.2789999999999999</v>
      </c>
      <c r="CN19">
        <v>2.573</v>
      </c>
      <c r="CO19">
        <v>3.0950000000000002</v>
      </c>
      <c r="CP19">
        <v>5.2169999999999996</v>
      </c>
      <c r="CQ19">
        <v>7.9379999999999997</v>
      </c>
      <c r="CR19">
        <v>9.8770000000000007</v>
      </c>
      <c r="CS19">
        <v>10.959</v>
      </c>
      <c r="CT19">
        <v>11.529</v>
      </c>
      <c r="CU19">
        <v>11.348000000000001</v>
      </c>
      <c r="CW19" s="52">
        <v>8.4</v>
      </c>
      <c r="CX19">
        <v>1.288</v>
      </c>
      <c r="CY19">
        <v>2.5910000000000002</v>
      </c>
      <c r="CZ19">
        <v>3.1160000000000001</v>
      </c>
      <c r="DA19">
        <v>5.2530000000000001</v>
      </c>
      <c r="DB19">
        <v>7.9820000000000002</v>
      </c>
      <c r="DC19">
        <v>9.9160000000000004</v>
      </c>
      <c r="DD19">
        <v>10.978</v>
      </c>
      <c r="DE19">
        <v>11.542999999999999</v>
      </c>
      <c r="DF19">
        <v>11.359</v>
      </c>
    </row>
    <row r="20" spans="2:110" ht="15" x14ac:dyDescent="0.35">
      <c r="B20" s="54" t="s">
        <v>19</v>
      </c>
      <c r="C20" s="52" t="s">
        <v>13</v>
      </c>
      <c r="D20" s="52" t="s">
        <v>14</v>
      </c>
      <c r="E20" s="52" t="s">
        <v>15</v>
      </c>
      <c r="F20" s="52" t="s">
        <v>16</v>
      </c>
      <c r="G20" s="52" t="s">
        <v>17</v>
      </c>
      <c r="H20" s="52" t="s">
        <v>18</v>
      </c>
      <c r="W20" s="39">
        <v>15.775</v>
      </c>
      <c r="X20">
        <v>2</v>
      </c>
      <c r="Y20">
        <v>11603.1</v>
      </c>
      <c r="Z20">
        <v>7126</v>
      </c>
      <c r="AA20">
        <v>158.66</v>
      </c>
      <c r="AB20">
        <v>9.51</v>
      </c>
      <c r="AD20">
        <v>15.975</v>
      </c>
      <c r="AE20">
        <v>2</v>
      </c>
      <c r="AF20">
        <v>12384</v>
      </c>
      <c r="AG20">
        <v>8784</v>
      </c>
      <c r="AH20">
        <v>130.02000000000001</v>
      </c>
      <c r="AI20">
        <v>9.5399999999999991</v>
      </c>
      <c r="AK20">
        <v>15.975</v>
      </c>
      <c r="AL20">
        <v>2</v>
      </c>
      <c r="AM20">
        <v>12385.8</v>
      </c>
      <c r="AN20">
        <v>8784</v>
      </c>
      <c r="AO20">
        <v>101.22</v>
      </c>
      <c r="AP20">
        <v>9.5399999999999991</v>
      </c>
      <c r="AR20">
        <v>15.975</v>
      </c>
      <c r="AS20">
        <v>2</v>
      </c>
      <c r="AT20">
        <v>12384</v>
      </c>
      <c r="AU20">
        <v>8784</v>
      </c>
      <c r="AV20">
        <v>72.42</v>
      </c>
      <c r="AW20">
        <v>9.5399999999999991</v>
      </c>
      <c r="AY20">
        <v>15.975</v>
      </c>
      <c r="AZ20">
        <v>2</v>
      </c>
      <c r="BA20">
        <v>12299.9</v>
      </c>
      <c r="BB20">
        <v>8761</v>
      </c>
      <c r="BC20">
        <v>43.23</v>
      </c>
      <c r="BD20">
        <v>9.8699999999999992</v>
      </c>
      <c r="BF20" s="52">
        <v>8.5</v>
      </c>
      <c r="BG20">
        <v>63352</v>
      </c>
      <c r="BH20">
        <v>62424</v>
      </c>
      <c r="BI20">
        <v>61496</v>
      </c>
      <c r="BJ20">
        <v>60568</v>
      </c>
      <c r="BK20">
        <v>59640</v>
      </c>
      <c r="BL20">
        <v>58713</v>
      </c>
      <c r="BM20">
        <v>57785</v>
      </c>
      <c r="BN20">
        <v>56857</v>
      </c>
      <c r="BO20">
        <v>55929</v>
      </c>
      <c r="BP20">
        <v>55001</v>
      </c>
      <c r="BQ20">
        <v>54073</v>
      </c>
      <c r="BR20">
        <v>53145</v>
      </c>
      <c r="BS20">
        <v>52217</v>
      </c>
      <c r="BT20">
        <v>51290</v>
      </c>
      <c r="BU20">
        <v>50362</v>
      </c>
      <c r="BV20">
        <v>49434</v>
      </c>
      <c r="BW20">
        <v>48506</v>
      </c>
      <c r="BX20">
        <v>47578</v>
      </c>
      <c r="BY20">
        <v>46651</v>
      </c>
      <c r="BZ20">
        <v>45723</v>
      </c>
      <c r="CA20">
        <v>44794</v>
      </c>
      <c r="CB20">
        <v>43867</v>
      </c>
      <c r="CC20">
        <v>42939</v>
      </c>
      <c r="CD20">
        <v>42011</v>
      </c>
      <c r="CE20">
        <v>41083</v>
      </c>
      <c r="CF20">
        <v>40156</v>
      </c>
      <c r="CG20">
        <v>39228</v>
      </c>
      <c r="CH20">
        <v>38300</v>
      </c>
      <c r="CI20">
        <v>37372</v>
      </c>
      <c r="CJ20">
        <v>36445</v>
      </c>
      <c r="CL20" s="52">
        <v>8.5</v>
      </c>
      <c r="CM20">
        <v>1.274</v>
      </c>
      <c r="CN20">
        <v>2.5619999999999998</v>
      </c>
      <c r="CO20">
        <v>3.0819999999999999</v>
      </c>
      <c r="CP20">
        <v>5.1950000000000003</v>
      </c>
      <c r="CQ20">
        <v>7.9119999999999999</v>
      </c>
      <c r="CR20">
        <v>9.8450000000000006</v>
      </c>
      <c r="CS20">
        <v>10.938000000000001</v>
      </c>
      <c r="CT20">
        <v>11.510999999999999</v>
      </c>
      <c r="CU20">
        <v>11.339</v>
      </c>
      <c r="CW20" s="52">
        <v>8.5</v>
      </c>
      <c r="CX20">
        <v>1.282</v>
      </c>
      <c r="CY20">
        <v>2.58</v>
      </c>
      <c r="CZ20">
        <v>3.1030000000000002</v>
      </c>
      <c r="DA20">
        <v>5.23</v>
      </c>
      <c r="DB20">
        <v>7.9569999999999999</v>
      </c>
      <c r="DC20">
        <v>9.8829999999999991</v>
      </c>
      <c r="DD20">
        <v>10.957000000000001</v>
      </c>
      <c r="DE20">
        <v>11.526</v>
      </c>
      <c r="DF20">
        <v>11.349</v>
      </c>
    </row>
    <row r="21" spans="2:110" ht="15" x14ac:dyDescent="0.35">
      <c r="B21" s="52" t="s">
        <v>20</v>
      </c>
      <c r="C21" s="1">
        <v>1874.3</v>
      </c>
      <c r="D21" s="1">
        <v>1836.8</v>
      </c>
      <c r="E21" s="1">
        <v>179.02</v>
      </c>
      <c r="F21" s="1">
        <v>0</v>
      </c>
      <c r="G21" s="1">
        <v>9.3000000000000007</v>
      </c>
      <c r="H21" s="1">
        <v>4265</v>
      </c>
      <c r="J21" s="52" t="s">
        <v>114</v>
      </c>
      <c r="K21" s="52" t="s">
        <v>123</v>
      </c>
      <c r="L21" s="52" t="s">
        <v>124</v>
      </c>
      <c r="M21" s="52" t="s">
        <v>115</v>
      </c>
      <c r="N21" s="52" t="s">
        <v>116</v>
      </c>
      <c r="O21" s="52" t="s">
        <v>117</v>
      </c>
      <c r="P21" s="52" t="s">
        <v>118</v>
      </c>
      <c r="Q21" s="52" t="s">
        <v>119</v>
      </c>
      <c r="R21" s="52" t="s">
        <v>120</v>
      </c>
      <c r="S21" s="52" t="s">
        <v>113</v>
      </c>
      <c r="T21" s="52" t="s">
        <v>121</v>
      </c>
      <c r="U21" s="52" t="s">
        <v>122</v>
      </c>
      <c r="W21" s="39">
        <v>15.574999999999999</v>
      </c>
      <c r="X21">
        <v>2.2000000000000002</v>
      </c>
      <c r="Y21">
        <v>11516.7</v>
      </c>
      <c r="Z21">
        <v>7678</v>
      </c>
      <c r="AA21">
        <v>158.66999999999999</v>
      </c>
      <c r="AB21">
        <v>9.4499999999999993</v>
      </c>
      <c r="AD21">
        <v>15.775</v>
      </c>
      <c r="AE21">
        <v>2.2000000000000002</v>
      </c>
      <c r="AF21">
        <v>12287.4</v>
      </c>
      <c r="AG21">
        <v>9458</v>
      </c>
      <c r="AH21">
        <v>130.02000000000001</v>
      </c>
      <c r="AI21">
        <v>9.48</v>
      </c>
      <c r="AK21">
        <v>15.775</v>
      </c>
      <c r="AL21">
        <v>2.2000000000000002</v>
      </c>
      <c r="AM21">
        <v>12289.2</v>
      </c>
      <c r="AN21">
        <v>9458</v>
      </c>
      <c r="AO21">
        <v>101.22</v>
      </c>
      <c r="AP21">
        <v>9.48</v>
      </c>
      <c r="AR21">
        <v>15.775</v>
      </c>
      <c r="AS21">
        <v>2.2000000000000002</v>
      </c>
      <c r="AT21">
        <v>12287.5</v>
      </c>
      <c r="AU21">
        <v>9458</v>
      </c>
      <c r="AV21">
        <v>72.42</v>
      </c>
      <c r="AW21">
        <v>9.48</v>
      </c>
      <c r="AY21">
        <v>15.775</v>
      </c>
      <c r="AZ21">
        <v>2.2000000000000002</v>
      </c>
      <c r="BA21">
        <v>12203.4</v>
      </c>
      <c r="BB21">
        <v>9430</v>
      </c>
      <c r="BC21">
        <v>43.23</v>
      </c>
      <c r="BD21">
        <v>9.81</v>
      </c>
      <c r="BF21" s="52">
        <v>8.6</v>
      </c>
      <c r="BG21">
        <v>63618</v>
      </c>
      <c r="BH21">
        <v>62678</v>
      </c>
      <c r="BI21">
        <v>61738</v>
      </c>
      <c r="BJ21">
        <v>60799</v>
      </c>
      <c r="BK21">
        <v>59859</v>
      </c>
      <c r="BL21">
        <v>58919</v>
      </c>
      <c r="BM21">
        <v>57979</v>
      </c>
      <c r="BN21">
        <v>57039</v>
      </c>
      <c r="BO21">
        <v>56099</v>
      </c>
      <c r="BP21">
        <v>55160</v>
      </c>
      <c r="BQ21">
        <v>54219</v>
      </c>
      <c r="BR21">
        <v>53279</v>
      </c>
      <c r="BS21">
        <v>52339</v>
      </c>
      <c r="BT21">
        <v>51400</v>
      </c>
      <c r="BU21">
        <v>50460</v>
      </c>
      <c r="BV21">
        <v>49520</v>
      </c>
      <c r="BW21">
        <v>48580</v>
      </c>
      <c r="BX21">
        <v>47640</v>
      </c>
      <c r="BY21">
        <v>46700</v>
      </c>
      <c r="BZ21">
        <v>45761</v>
      </c>
      <c r="CA21">
        <v>44820</v>
      </c>
      <c r="CB21">
        <v>43880</v>
      </c>
      <c r="CC21">
        <v>42941</v>
      </c>
      <c r="CD21">
        <v>42001</v>
      </c>
      <c r="CE21">
        <v>41061</v>
      </c>
      <c r="CF21">
        <v>40121</v>
      </c>
      <c r="CG21">
        <v>39181</v>
      </c>
      <c r="CH21">
        <v>38242</v>
      </c>
      <c r="CI21">
        <v>37302</v>
      </c>
      <c r="CJ21">
        <v>36362</v>
      </c>
      <c r="CL21" s="52">
        <v>8.6</v>
      </c>
      <c r="CM21">
        <v>1.2689999999999999</v>
      </c>
      <c r="CN21">
        <v>2.552</v>
      </c>
      <c r="CO21">
        <v>3.069</v>
      </c>
      <c r="CP21">
        <v>5.1740000000000004</v>
      </c>
      <c r="CQ21">
        <v>7.8869999999999996</v>
      </c>
      <c r="CR21">
        <v>9.8140000000000001</v>
      </c>
      <c r="CS21">
        <v>10.917999999999999</v>
      </c>
      <c r="CT21">
        <v>11.494</v>
      </c>
      <c r="CU21">
        <v>11.329000000000001</v>
      </c>
      <c r="CW21" s="52">
        <v>8.6</v>
      </c>
      <c r="CX21">
        <v>1.2769999999999999</v>
      </c>
      <c r="CY21">
        <v>2.57</v>
      </c>
      <c r="CZ21">
        <v>3.09</v>
      </c>
      <c r="DA21">
        <v>5.2080000000000002</v>
      </c>
      <c r="DB21">
        <v>7.9320000000000004</v>
      </c>
      <c r="DC21">
        <v>9.8510000000000009</v>
      </c>
      <c r="DD21">
        <v>10.936</v>
      </c>
      <c r="DE21">
        <v>11.507999999999999</v>
      </c>
      <c r="DF21">
        <v>11.339</v>
      </c>
    </row>
    <row r="22" spans="2:110" ht="15" x14ac:dyDescent="0.35">
      <c r="B22" s="52" t="s">
        <v>21</v>
      </c>
      <c r="C22" s="1">
        <v>245.5</v>
      </c>
      <c r="D22" s="1">
        <v>240.6</v>
      </c>
      <c r="E22" s="1">
        <v>157.12</v>
      </c>
      <c r="F22" s="1">
        <v>-5.15</v>
      </c>
      <c r="G22" s="1">
        <v>0.91</v>
      </c>
      <c r="H22" s="1">
        <v>448</v>
      </c>
      <c r="J22">
        <v>2.5</v>
      </c>
      <c r="K22">
        <v>11203</v>
      </c>
      <c r="L22">
        <v>159</v>
      </c>
      <c r="M22">
        <v>101.38</v>
      </c>
      <c r="N22">
        <v>1.29</v>
      </c>
      <c r="O22">
        <v>100.7</v>
      </c>
      <c r="P22">
        <v>33.47</v>
      </c>
      <c r="Q22">
        <v>493.3</v>
      </c>
      <c r="R22">
        <v>48</v>
      </c>
      <c r="S22">
        <v>0.73399999999999999</v>
      </c>
      <c r="T22">
        <v>4681</v>
      </c>
      <c r="U22">
        <v>5164</v>
      </c>
      <c r="W22" s="39">
        <v>15.375</v>
      </c>
      <c r="X22">
        <v>2.4</v>
      </c>
      <c r="Y22">
        <v>11426.9</v>
      </c>
      <c r="Z22">
        <v>8240</v>
      </c>
      <c r="AA22">
        <v>158.68</v>
      </c>
      <c r="AB22">
        <v>9.3800000000000008</v>
      </c>
      <c r="AD22">
        <v>15.574999999999999</v>
      </c>
      <c r="AE22">
        <v>2.4</v>
      </c>
      <c r="AF22">
        <v>12185.6</v>
      </c>
      <c r="AG22">
        <v>10163</v>
      </c>
      <c r="AH22">
        <v>130.02000000000001</v>
      </c>
      <c r="AI22">
        <v>9.41</v>
      </c>
      <c r="AK22">
        <v>15.574999999999999</v>
      </c>
      <c r="AL22">
        <v>2.4</v>
      </c>
      <c r="AM22">
        <v>12187.4</v>
      </c>
      <c r="AN22">
        <v>10163</v>
      </c>
      <c r="AO22">
        <v>101.22</v>
      </c>
      <c r="AP22">
        <v>9.41</v>
      </c>
      <c r="AR22">
        <v>15.574999999999999</v>
      </c>
      <c r="AS22">
        <v>2.4</v>
      </c>
      <c r="AT22">
        <v>12185.6</v>
      </c>
      <c r="AU22">
        <v>10163</v>
      </c>
      <c r="AV22">
        <v>72.42</v>
      </c>
      <c r="AW22">
        <v>9.41</v>
      </c>
      <c r="AY22">
        <v>15.574999999999999</v>
      </c>
      <c r="AZ22">
        <v>2.4</v>
      </c>
      <c r="BA22">
        <v>12102.1</v>
      </c>
      <c r="BB22">
        <v>10125</v>
      </c>
      <c r="BC22">
        <v>43.22</v>
      </c>
      <c r="BD22">
        <v>9.75</v>
      </c>
      <c r="BF22" s="52">
        <v>8.6999999999999993</v>
      </c>
      <c r="BG22">
        <v>63894</v>
      </c>
      <c r="BH22">
        <v>62942</v>
      </c>
      <c r="BI22">
        <v>61991</v>
      </c>
      <c r="BJ22">
        <v>61039</v>
      </c>
      <c r="BK22">
        <v>60087</v>
      </c>
      <c r="BL22">
        <v>59135</v>
      </c>
      <c r="BM22">
        <v>58183</v>
      </c>
      <c r="BN22">
        <v>57231</v>
      </c>
      <c r="BO22">
        <v>56279</v>
      </c>
      <c r="BP22">
        <v>55327</v>
      </c>
      <c r="BQ22">
        <v>54375</v>
      </c>
      <c r="BR22">
        <v>53423</v>
      </c>
      <c r="BS22">
        <v>52471</v>
      </c>
      <c r="BT22">
        <v>51519</v>
      </c>
      <c r="BU22">
        <v>50567</v>
      </c>
      <c r="BV22">
        <v>49615</v>
      </c>
      <c r="BW22">
        <v>48663</v>
      </c>
      <c r="BX22">
        <v>47712</v>
      </c>
      <c r="BY22">
        <v>46760</v>
      </c>
      <c r="BZ22">
        <v>45808</v>
      </c>
      <c r="CA22">
        <v>44855</v>
      </c>
      <c r="CB22">
        <v>43904</v>
      </c>
      <c r="CC22">
        <v>42952</v>
      </c>
      <c r="CD22">
        <v>42000</v>
      </c>
      <c r="CE22">
        <v>41048</v>
      </c>
      <c r="CF22">
        <v>40096</v>
      </c>
      <c r="CG22">
        <v>39144</v>
      </c>
      <c r="CH22">
        <v>38193</v>
      </c>
      <c r="CI22">
        <v>37241</v>
      </c>
      <c r="CJ22">
        <v>36289</v>
      </c>
      <c r="CL22" s="52">
        <v>8.6999999999999993</v>
      </c>
      <c r="CM22">
        <v>1.264</v>
      </c>
      <c r="CN22">
        <v>2.5419999999999998</v>
      </c>
      <c r="CO22">
        <v>3.0569999999999999</v>
      </c>
      <c r="CP22">
        <v>5.1539999999999999</v>
      </c>
      <c r="CQ22">
        <v>7.8609999999999998</v>
      </c>
      <c r="CR22">
        <v>9.782</v>
      </c>
      <c r="CS22">
        <v>10.897</v>
      </c>
      <c r="CT22">
        <v>11.476000000000001</v>
      </c>
      <c r="CU22">
        <v>11.319000000000001</v>
      </c>
      <c r="CW22" s="52">
        <v>8.6999999999999993</v>
      </c>
      <c r="CX22">
        <v>1.272</v>
      </c>
      <c r="CY22">
        <v>2.5590000000000002</v>
      </c>
      <c r="CZ22">
        <v>3.0779999999999998</v>
      </c>
      <c r="DA22">
        <v>5.1870000000000003</v>
      </c>
      <c r="DB22">
        <v>7.9059999999999997</v>
      </c>
      <c r="DC22">
        <v>9.8179999999999996</v>
      </c>
      <c r="DD22">
        <v>10.916</v>
      </c>
      <c r="DE22">
        <v>11.489000000000001</v>
      </c>
      <c r="DF22">
        <v>11.327999999999999</v>
      </c>
    </row>
    <row r="23" spans="2:110" ht="15" x14ac:dyDescent="0.35">
      <c r="B23" s="52" t="s">
        <v>25</v>
      </c>
      <c r="C23" s="1">
        <v>245.5</v>
      </c>
      <c r="D23" s="1">
        <v>240.6</v>
      </c>
      <c r="E23" s="1">
        <v>157.12</v>
      </c>
      <c r="F23" s="1">
        <v>5.15</v>
      </c>
      <c r="G23" s="1">
        <v>0.91</v>
      </c>
      <c r="H23" s="1">
        <v>448</v>
      </c>
      <c r="J23">
        <v>2.6</v>
      </c>
      <c r="K23">
        <v>11683</v>
      </c>
      <c r="L23">
        <v>639</v>
      </c>
      <c r="M23">
        <v>101.38</v>
      </c>
      <c r="N23">
        <v>1.29</v>
      </c>
      <c r="O23">
        <v>100.7</v>
      </c>
      <c r="P23">
        <v>33.47</v>
      </c>
      <c r="Q23">
        <v>493.3</v>
      </c>
      <c r="R23">
        <v>48</v>
      </c>
      <c r="S23">
        <v>0.73399999999999999</v>
      </c>
      <c r="T23">
        <v>4681</v>
      </c>
      <c r="U23">
        <v>5164</v>
      </c>
      <c r="W23" s="39">
        <v>15.175000000000001</v>
      </c>
      <c r="X23">
        <v>2.6</v>
      </c>
      <c r="Y23">
        <v>11333</v>
      </c>
      <c r="Z23">
        <v>8819</v>
      </c>
      <c r="AA23">
        <v>158.69</v>
      </c>
      <c r="AB23">
        <v>9.31</v>
      </c>
      <c r="AD23">
        <v>15.375</v>
      </c>
      <c r="AE23">
        <v>2.6</v>
      </c>
      <c r="AF23">
        <v>12078.3</v>
      </c>
      <c r="AG23">
        <v>10895</v>
      </c>
      <c r="AH23">
        <v>130.02000000000001</v>
      </c>
      <c r="AI23">
        <v>9.34</v>
      </c>
      <c r="AK23">
        <v>15.375</v>
      </c>
      <c r="AL23">
        <v>2.6</v>
      </c>
      <c r="AM23">
        <v>12080.1</v>
      </c>
      <c r="AN23">
        <v>10895</v>
      </c>
      <c r="AO23">
        <v>101.22</v>
      </c>
      <c r="AP23">
        <v>9.34</v>
      </c>
      <c r="AR23">
        <v>15.375</v>
      </c>
      <c r="AS23">
        <v>2.6</v>
      </c>
      <c r="AT23">
        <v>12078.4</v>
      </c>
      <c r="AU23">
        <v>10895</v>
      </c>
      <c r="AV23">
        <v>72.42</v>
      </c>
      <c r="AW23">
        <v>9.34</v>
      </c>
      <c r="AY23">
        <v>15.375</v>
      </c>
      <c r="AZ23">
        <v>2.6</v>
      </c>
      <c r="BA23">
        <v>11996</v>
      </c>
      <c r="BB23">
        <v>10841</v>
      </c>
      <c r="BC23">
        <v>43.22</v>
      </c>
      <c r="BD23">
        <v>9.68</v>
      </c>
      <c r="BF23" s="52">
        <v>8.8000000000000007</v>
      </c>
      <c r="BG23">
        <v>64180</v>
      </c>
      <c r="BH23">
        <v>63216</v>
      </c>
      <c r="BI23">
        <v>62252</v>
      </c>
      <c r="BJ23">
        <v>61288</v>
      </c>
      <c r="BK23">
        <v>60324</v>
      </c>
      <c r="BL23">
        <v>59360</v>
      </c>
      <c r="BM23">
        <v>58396</v>
      </c>
      <c r="BN23">
        <v>57432</v>
      </c>
      <c r="BO23">
        <v>56468</v>
      </c>
      <c r="BP23">
        <v>55504</v>
      </c>
      <c r="BQ23">
        <v>54539</v>
      </c>
      <c r="BR23">
        <v>53575</v>
      </c>
      <c r="BS23">
        <v>52611</v>
      </c>
      <c r="BT23">
        <v>51647</v>
      </c>
      <c r="BU23">
        <v>50683</v>
      </c>
      <c r="BV23">
        <v>49719</v>
      </c>
      <c r="BW23">
        <v>48755</v>
      </c>
      <c r="BX23">
        <v>47791</v>
      </c>
      <c r="BY23">
        <v>46827</v>
      </c>
      <c r="BZ23">
        <v>45863</v>
      </c>
      <c r="CA23">
        <v>44899</v>
      </c>
      <c r="CB23">
        <v>43935</v>
      </c>
      <c r="CC23">
        <v>42971</v>
      </c>
      <c r="CD23">
        <v>42007</v>
      </c>
      <c r="CE23">
        <v>41043</v>
      </c>
      <c r="CF23">
        <v>40079</v>
      </c>
      <c r="CG23">
        <v>39115</v>
      </c>
      <c r="CH23">
        <v>38151</v>
      </c>
      <c r="CI23">
        <v>37188</v>
      </c>
      <c r="CJ23">
        <v>36224</v>
      </c>
      <c r="CL23" s="52">
        <v>8.8000000000000007</v>
      </c>
      <c r="CM23">
        <v>1.2589999999999999</v>
      </c>
      <c r="CN23">
        <v>2.5329999999999999</v>
      </c>
      <c r="CO23">
        <v>3.0459999999999998</v>
      </c>
      <c r="CP23">
        <v>5.1349999999999998</v>
      </c>
      <c r="CQ23">
        <v>7.835</v>
      </c>
      <c r="CR23">
        <v>9.7490000000000006</v>
      </c>
      <c r="CS23">
        <v>10.875999999999999</v>
      </c>
      <c r="CT23">
        <v>11.457000000000001</v>
      </c>
      <c r="CU23">
        <v>11.308</v>
      </c>
      <c r="CW23" s="52">
        <v>8.8000000000000007</v>
      </c>
      <c r="CX23">
        <v>1.268</v>
      </c>
      <c r="CY23">
        <v>2.5499999999999998</v>
      </c>
      <c r="CZ23">
        <v>3.0659999999999998</v>
      </c>
      <c r="DA23">
        <v>5.1669999999999998</v>
      </c>
      <c r="DB23">
        <v>7.88</v>
      </c>
      <c r="DC23">
        <v>9.7840000000000007</v>
      </c>
      <c r="DD23">
        <v>10.895</v>
      </c>
      <c r="DE23">
        <v>11.47</v>
      </c>
      <c r="DF23">
        <v>11.317</v>
      </c>
    </row>
    <row r="24" spans="2:110" ht="15" x14ac:dyDescent="0.35">
      <c r="B24" s="52" t="s">
        <v>23</v>
      </c>
      <c r="C24" s="1">
        <v>1066.9000000000001</v>
      </c>
      <c r="D24" s="1">
        <v>1045.5</v>
      </c>
      <c r="E24" s="1">
        <v>158.83000000000001</v>
      </c>
      <c r="F24" s="1">
        <v>-12.75</v>
      </c>
      <c r="G24" s="1">
        <v>7.19</v>
      </c>
      <c r="H24" s="1">
        <v>1407</v>
      </c>
      <c r="J24">
        <v>2.7</v>
      </c>
      <c r="K24">
        <v>12165</v>
      </c>
      <c r="L24">
        <v>1121</v>
      </c>
      <c r="M24">
        <v>101.32</v>
      </c>
      <c r="N24">
        <v>1.34</v>
      </c>
      <c r="O24">
        <v>100.66</v>
      </c>
      <c r="P24">
        <v>32.35</v>
      </c>
      <c r="Q24">
        <v>497.1</v>
      </c>
      <c r="R24">
        <v>48.1</v>
      </c>
      <c r="S24">
        <v>0.73599999999999999</v>
      </c>
      <c r="T24">
        <v>4696</v>
      </c>
      <c r="U24">
        <v>5207</v>
      </c>
      <c r="W24" s="39">
        <v>14.975</v>
      </c>
      <c r="X24">
        <v>2.8</v>
      </c>
      <c r="Y24">
        <v>11235.7</v>
      </c>
      <c r="Z24">
        <v>9404</v>
      </c>
      <c r="AA24">
        <v>158.69</v>
      </c>
      <c r="AB24">
        <v>9.25</v>
      </c>
      <c r="AD24">
        <v>15.175000000000001</v>
      </c>
      <c r="AE24">
        <v>2.8</v>
      </c>
      <c r="AF24">
        <v>11971</v>
      </c>
      <c r="AG24">
        <v>11605</v>
      </c>
      <c r="AH24">
        <v>130.02000000000001</v>
      </c>
      <c r="AI24">
        <v>9.27</v>
      </c>
      <c r="AK24">
        <v>15.175000000000001</v>
      </c>
      <c r="AL24">
        <v>2.8</v>
      </c>
      <c r="AM24">
        <v>11972.8</v>
      </c>
      <c r="AN24">
        <v>11605</v>
      </c>
      <c r="AO24">
        <v>101.22</v>
      </c>
      <c r="AP24">
        <v>9.27</v>
      </c>
      <c r="AR24">
        <v>15.175000000000001</v>
      </c>
      <c r="AS24">
        <v>2.8</v>
      </c>
      <c r="AT24">
        <v>11971.1</v>
      </c>
      <c r="AU24">
        <v>11605</v>
      </c>
      <c r="AV24">
        <v>72.42</v>
      </c>
      <c r="AW24">
        <v>9.27</v>
      </c>
      <c r="AY24">
        <v>15.175000000000001</v>
      </c>
      <c r="AZ24">
        <v>2.8</v>
      </c>
      <c r="BA24">
        <v>11889.9</v>
      </c>
      <c r="BB24">
        <v>11535</v>
      </c>
      <c r="BC24">
        <v>43.21</v>
      </c>
      <c r="BD24">
        <v>9.6199999999999992</v>
      </c>
      <c r="BF24" s="52">
        <v>8.9</v>
      </c>
      <c r="BG24">
        <v>64475</v>
      </c>
      <c r="BH24">
        <v>63499</v>
      </c>
      <c r="BI24">
        <v>62523</v>
      </c>
      <c r="BJ24">
        <v>61547</v>
      </c>
      <c r="BK24">
        <v>60571</v>
      </c>
      <c r="BL24">
        <v>59595</v>
      </c>
      <c r="BM24">
        <v>58619</v>
      </c>
      <c r="BN24">
        <v>57643</v>
      </c>
      <c r="BO24">
        <v>56666</v>
      </c>
      <c r="BP24">
        <v>55690</v>
      </c>
      <c r="BQ24">
        <v>54714</v>
      </c>
      <c r="BR24">
        <v>53738</v>
      </c>
      <c r="BS24">
        <v>52762</v>
      </c>
      <c r="BT24">
        <v>51785</v>
      </c>
      <c r="BU24">
        <v>50809</v>
      </c>
      <c r="BV24">
        <v>49833</v>
      </c>
      <c r="BW24">
        <v>48857</v>
      </c>
      <c r="BX24">
        <v>47881</v>
      </c>
      <c r="BY24">
        <v>46905</v>
      </c>
      <c r="BZ24">
        <v>45929</v>
      </c>
      <c r="CA24">
        <v>44952</v>
      </c>
      <c r="CB24">
        <v>43976</v>
      </c>
      <c r="CC24">
        <v>43000</v>
      </c>
      <c r="CD24">
        <v>42024</v>
      </c>
      <c r="CE24">
        <v>41048</v>
      </c>
      <c r="CF24">
        <v>40072</v>
      </c>
      <c r="CG24">
        <v>39096</v>
      </c>
      <c r="CH24">
        <v>38120</v>
      </c>
      <c r="CI24">
        <v>37144</v>
      </c>
      <c r="CJ24">
        <v>36168</v>
      </c>
      <c r="CL24" s="52">
        <v>8.9</v>
      </c>
      <c r="CM24">
        <v>1.2549999999999999</v>
      </c>
      <c r="CN24">
        <v>2.524</v>
      </c>
      <c r="CO24">
        <v>3.0350000000000001</v>
      </c>
      <c r="CP24">
        <v>5.1159999999999997</v>
      </c>
      <c r="CQ24">
        <v>7.8090000000000002</v>
      </c>
      <c r="CR24">
        <v>9.7170000000000005</v>
      </c>
      <c r="CS24">
        <v>10.856</v>
      </c>
      <c r="CT24">
        <v>11.438000000000001</v>
      </c>
      <c r="CU24">
        <v>11.298</v>
      </c>
      <c r="CW24" s="52">
        <v>8.9</v>
      </c>
      <c r="CX24">
        <v>1.2629999999999999</v>
      </c>
      <c r="CY24">
        <v>2.54</v>
      </c>
      <c r="CZ24">
        <v>3.0550000000000002</v>
      </c>
      <c r="DA24">
        <v>5.1479999999999997</v>
      </c>
      <c r="DB24">
        <v>7.8540000000000001</v>
      </c>
      <c r="DC24">
        <v>9.7509999999999994</v>
      </c>
      <c r="DD24">
        <v>10.875</v>
      </c>
      <c r="DE24">
        <v>11.451000000000001</v>
      </c>
      <c r="DF24">
        <v>11.305999999999999</v>
      </c>
    </row>
    <row r="25" spans="2:110" ht="15" x14ac:dyDescent="0.35">
      <c r="B25" s="52" t="s">
        <v>26</v>
      </c>
      <c r="C25" s="1">
        <v>1066.9000000000001</v>
      </c>
      <c r="D25" s="1">
        <v>1045.5</v>
      </c>
      <c r="E25" s="1">
        <v>158.83000000000001</v>
      </c>
      <c r="F25" s="1">
        <v>12.75</v>
      </c>
      <c r="G25" s="1">
        <v>7.19</v>
      </c>
      <c r="H25" s="1">
        <v>1407</v>
      </c>
      <c r="J25">
        <v>2.8</v>
      </c>
      <c r="K25">
        <v>12649</v>
      </c>
      <c r="L25">
        <v>1605</v>
      </c>
      <c r="M25">
        <v>101.29</v>
      </c>
      <c r="N25">
        <v>1.44</v>
      </c>
      <c r="O25">
        <v>100.57</v>
      </c>
      <c r="P25">
        <v>30.36</v>
      </c>
      <c r="Q25">
        <v>504.4</v>
      </c>
      <c r="R25">
        <v>48.4</v>
      </c>
      <c r="S25">
        <v>0.74</v>
      </c>
      <c r="T25">
        <v>4724</v>
      </c>
      <c r="U25">
        <v>5250</v>
      </c>
      <c r="W25" s="39">
        <v>14.775</v>
      </c>
      <c r="X25">
        <v>3</v>
      </c>
      <c r="Y25">
        <v>11133.3</v>
      </c>
      <c r="Z25">
        <v>10017</v>
      </c>
      <c r="AA25">
        <v>158.69999999999999</v>
      </c>
      <c r="AB25">
        <v>9.18</v>
      </c>
      <c r="AD25">
        <v>14.975</v>
      </c>
      <c r="AE25">
        <v>3</v>
      </c>
      <c r="AF25">
        <v>11863.7</v>
      </c>
      <c r="AG25">
        <v>12283</v>
      </c>
      <c r="AH25">
        <v>130.02000000000001</v>
      </c>
      <c r="AI25">
        <v>9.1999999999999993</v>
      </c>
      <c r="AK25">
        <v>14.975</v>
      </c>
      <c r="AL25">
        <v>3</v>
      </c>
      <c r="AM25">
        <v>11865.6</v>
      </c>
      <c r="AN25">
        <v>12283</v>
      </c>
      <c r="AO25">
        <v>101.22</v>
      </c>
      <c r="AP25">
        <v>9.1999999999999993</v>
      </c>
      <c r="AR25">
        <v>14.975</v>
      </c>
      <c r="AS25">
        <v>3</v>
      </c>
      <c r="AT25">
        <v>11863.8</v>
      </c>
      <c r="AU25">
        <v>12283</v>
      </c>
      <c r="AV25">
        <v>72.42</v>
      </c>
      <c r="AW25">
        <v>9.1999999999999993</v>
      </c>
      <c r="AY25">
        <v>14.975</v>
      </c>
      <c r="AZ25">
        <v>3</v>
      </c>
      <c r="BA25">
        <v>11783.8</v>
      </c>
      <c r="BB25">
        <v>12196</v>
      </c>
      <c r="BC25">
        <v>43.21</v>
      </c>
      <c r="BD25">
        <v>9.5500000000000007</v>
      </c>
      <c r="BF25" s="52">
        <v>9</v>
      </c>
      <c r="BG25">
        <v>64781</v>
      </c>
      <c r="BH25">
        <v>63792</v>
      </c>
      <c r="BI25">
        <v>62804</v>
      </c>
      <c r="BJ25">
        <v>61816</v>
      </c>
      <c r="BK25">
        <v>60827</v>
      </c>
      <c r="BL25">
        <v>59839</v>
      </c>
      <c r="BM25">
        <v>58851</v>
      </c>
      <c r="BN25">
        <v>57863</v>
      </c>
      <c r="BO25">
        <v>56874</v>
      </c>
      <c r="BP25">
        <v>55886</v>
      </c>
      <c r="BQ25">
        <v>54897</v>
      </c>
      <c r="BR25">
        <v>53909</v>
      </c>
      <c r="BS25">
        <v>52921</v>
      </c>
      <c r="BT25">
        <v>51933</v>
      </c>
      <c r="BU25">
        <v>50944</v>
      </c>
      <c r="BV25">
        <v>49956</v>
      </c>
      <c r="BW25">
        <v>48968</v>
      </c>
      <c r="BX25">
        <v>47980</v>
      </c>
      <c r="BY25">
        <v>46991</v>
      </c>
      <c r="BZ25">
        <v>46003</v>
      </c>
      <c r="CA25">
        <v>45014</v>
      </c>
      <c r="CB25">
        <v>44026</v>
      </c>
      <c r="CC25">
        <v>43038</v>
      </c>
      <c r="CD25">
        <v>42050</v>
      </c>
      <c r="CE25">
        <v>41062</v>
      </c>
      <c r="CF25">
        <v>40073</v>
      </c>
      <c r="CG25">
        <v>39085</v>
      </c>
      <c r="CH25">
        <v>38097</v>
      </c>
      <c r="CI25">
        <v>37109</v>
      </c>
      <c r="CJ25">
        <v>36121</v>
      </c>
      <c r="CL25" s="52">
        <v>9</v>
      </c>
      <c r="CM25">
        <v>1.2509999999999999</v>
      </c>
      <c r="CN25">
        <v>2.5150000000000001</v>
      </c>
      <c r="CO25">
        <v>3.0249999999999999</v>
      </c>
      <c r="CP25">
        <v>5.0979999999999999</v>
      </c>
      <c r="CQ25">
        <v>7.782</v>
      </c>
      <c r="CR25">
        <v>9.6850000000000005</v>
      </c>
      <c r="CS25">
        <v>10.835000000000001</v>
      </c>
      <c r="CT25">
        <v>11.419</v>
      </c>
      <c r="CU25">
        <v>11.287000000000001</v>
      </c>
      <c r="CW25" s="52">
        <v>9</v>
      </c>
      <c r="CX25">
        <v>1.2589999999999999</v>
      </c>
      <c r="CY25">
        <v>2.532</v>
      </c>
      <c r="CZ25">
        <v>3.044</v>
      </c>
      <c r="DA25">
        <v>5.13</v>
      </c>
      <c r="DB25">
        <v>7.827</v>
      </c>
      <c r="DC25">
        <v>9.7170000000000005</v>
      </c>
      <c r="DD25">
        <v>10.855</v>
      </c>
      <c r="DE25">
        <v>11.432</v>
      </c>
      <c r="DF25">
        <v>11.295</v>
      </c>
    </row>
    <row r="26" spans="2:110" ht="15" x14ac:dyDescent="0.35">
      <c r="B26" s="52" t="s">
        <v>22</v>
      </c>
      <c r="C26" s="1">
        <v>607.70000000000005</v>
      </c>
      <c r="D26" s="1">
        <v>595.6</v>
      </c>
      <c r="E26" s="1">
        <v>132.91</v>
      </c>
      <c r="F26" s="1">
        <v>-7.49</v>
      </c>
      <c r="G26" s="1">
        <v>1.24</v>
      </c>
      <c r="H26" s="1">
        <v>2680</v>
      </c>
      <c r="J26">
        <v>2.9</v>
      </c>
      <c r="K26">
        <v>13134</v>
      </c>
      <c r="L26">
        <v>2090</v>
      </c>
      <c r="M26">
        <v>101.26</v>
      </c>
      <c r="N26">
        <v>1.49</v>
      </c>
      <c r="O26">
        <v>100.53</v>
      </c>
      <c r="P26">
        <v>29.48</v>
      </c>
      <c r="Q26">
        <v>508</v>
      </c>
      <c r="R26">
        <v>48.6</v>
      </c>
      <c r="S26">
        <v>0.74199999999999999</v>
      </c>
      <c r="T26">
        <v>4738</v>
      </c>
      <c r="U26">
        <v>5293</v>
      </c>
      <c r="W26" s="39">
        <v>14.574999999999999</v>
      </c>
      <c r="X26">
        <v>3.2</v>
      </c>
      <c r="Y26">
        <v>11027.5</v>
      </c>
      <c r="Z26">
        <v>10634</v>
      </c>
      <c r="AA26">
        <v>158.71</v>
      </c>
      <c r="AB26">
        <v>9.1199999999999992</v>
      </c>
      <c r="AD26">
        <v>14.775</v>
      </c>
      <c r="AE26">
        <v>3.2</v>
      </c>
      <c r="AF26">
        <v>11756.5</v>
      </c>
      <c r="AG26">
        <v>12929</v>
      </c>
      <c r="AH26">
        <v>130.02000000000001</v>
      </c>
      <c r="AI26">
        <v>9.1300000000000008</v>
      </c>
      <c r="AK26">
        <v>14.775</v>
      </c>
      <c r="AL26">
        <v>3.2</v>
      </c>
      <c r="AM26">
        <v>11758.3</v>
      </c>
      <c r="AN26">
        <v>12929</v>
      </c>
      <c r="AO26">
        <v>101.22</v>
      </c>
      <c r="AP26">
        <v>9.1300000000000008</v>
      </c>
      <c r="AR26">
        <v>14.775</v>
      </c>
      <c r="AS26">
        <v>3.2</v>
      </c>
      <c r="AT26">
        <v>11756.5</v>
      </c>
      <c r="AU26">
        <v>12929</v>
      </c>
      <c r="AV26">
        <v>72.42</v>
      </c>
      <c r="AW26">
        <v>9.1300000000000008</v>
      </c>
      <c r="AY26">
        <v>14.775</v>
      </c>
      <c r="AZ26">
        <v>3.2</v>
      </c>
      <c r="BA26">
        <v>11677.7</v>
      </c>
      <c r="BB26">
        <v>12825</v>
      </c>
      <c r="BC26">
        <v>43.21</v>
      </c>
      <c r="BD26">
        <v>9.48</v>
      </c>
      <c r="BF26" s="52">
        <v>9.1</v>
      </c>
      <c r="BG26">
        <v>65068</v>
      </c>
      <c r="BH26">
        <v>64067</v>
      </c>
      <c r="BI26">
        <v>63067</v>
      </c>
      <c r="BJ26">
        <v>62066</v>
      </c>
      <c r="BK26">
        <v>61066</v>
      </c>
      <c r="BL26">
        <v>60065</v>
      </c>
      <c r="BM26">
        <v>59065</v>
      </c>
      <c r="BN26">
        <v>58065</v>
      </c>
      <c r="BO26">
        <v>57064</v>
      </c>
      <c r="BP26">
        <v>56064</v>
      </c>
      <c r="BQ26">
        <v>55063</v>
      </c>
      <c r="BR26">
        <v>54062</v>
      </c>
      <c r="BS26">
        <v>53062</v>
      </c>
      <c r="BT26">
        <v>52062</v>
      </c>
      <c r="BU26">
        <v>51061</v>
      </c>
      <c r="BV26">
        <v>50061</v>
      </c>
      <c r="BW26">
        <v>49061</v>
      </c>
      <c r="BX26">
        <v>48060</v>
      </c>
      <c r="BY26">
        <v>47060</v>
      </c>
      <c r="BZ26">
        <v>46059</v>
      </c>
      <c r="CA26">
        <v>45059</v>
      </c>
      <c r="CB26">
        <v>44058</v>
      </c>
      <c r="CC26">
        <v>43058</v>
      </c>
      <c r="CD26">
        <v>42057</v>
      </c>
      <c r="CE26">
        <v>41057</v>
      </c>
      <c r="CF26">
        <v>40057</v>
      </c>
      <c r="CG26">
        <v>39056</v>
      </c>
      <c r="CH26">
        <v>38056</v>
      </c>
      <c r="CI26">
        <v>37056</v>
      </c>
      <c r="CJ26">
        <v>36056</v>
      </c>
      <c r="CL26" s="52">
        <v>9.1</v>
      </c>
      <c r="CM26">
        <v>1.2470000000000001</v>
      </c>
      <c r="CN26">
        <v>2.5070000000000001</v>
      </c>
      <c r="CO26">
        <v>3.0150000000000001</v>
      </c>
      <c r="CP26">
        <v>5.0810000000000004</v>
      </c>
      <c r="CQ26">
        <v>7.7549999999999999</v>
      </c>
      <c r="CR26">
        <v>9.6519999999999992</v>
      </c>
      <c r="CS26">
        <v>10.814</v>
      </c>
      <c r="CT26">
        <v>11.398999999999999</v>
      </c>
      <c r="CU26">
        <v>11.276</v>
      </c>
      <c r="CW26" s="52">
        <v>9.1</v>
      </c>
      <c r="CX26">
        <v>1.2549999999999999</v>
      </c>
      <c r="CY26">
        <v>2.5230000000000001</v>
      </c>
      <c r="CZ26">
        <v>3.0339999999999998</v>
      </c>
      <c r="DA26">
        <v>5.1120000000000001</v>
      </c>
      <c r="DB26">
        <v>7.7990000000000004</v>
      </c>
      <c r="DC26">
        <v>9.6839999999999993</v>
      </c>
      <c r="DD26">
        <v>10.834</v>
      </c>
      <c r="DE26">
        <v>11.412000000000001</v>
      </c>
      <c r="DF26">
        <v>11.282999999999999</v>
      </c>
    </row>
    <row r="27" spans="2:110" ht="15" x14ac:dyDescent="0.35">
      <c r="B27" s="52" t="s">
        <v>31</v>
      </c>
      <c r="C27" s="1">
        <v>607.70000000000005</v>
      </c>
      <c r="D27" s="1">
        <v>595.6</v>
      </c>
      <c r="E27" s="1">
        <v>132.91</v>
      </c>
      <c r="F27" s="1">
        <v>7.49</v>
      </c>
      <c r="G27" s="1">
        <v>1.24</v>
      </c>
      <c r="H27" s="1">
        <v>2680</v>
      </c>
      <c r="J27">
        <v>3</v>
      </c>
      <c r="K27">
        <v>13620</v>
      </c>
      <c r="L27">
        <v>2576</v>
      </c>
      <c r="M27">
        <v>101.24</v>
      </c>
      <c r="N27">
        <v>1.55</v>
      </c>
      <c r="O27">
        <v>100.49</v>
      </c>
      <c r="P27">
        <v>28.65</v>
      </c>
      <c r="Q27">
        <v>511.6</v>
      </c>
      <c r="R27">
        <v>48.7</v>
      </c>
      <c r="S27">
        <v>0.74399999999999999</v>
      </c>
      <c r="T27">
        <v>4751</v>
      </c>
      <c r="U27">
        <v>5336</v>
      </c>
      <c r="W27" s="39">
        <v>14.375</v>
      </c>
      <c r="X27">
        <v>3.4</v>
      </c>
      <c r="Y27">
        <v>10917.6</v>
      </c>
      <c r="Z27">
        <v>11262</v>
      </c>
      <c r="AA27">
        <v>158.71</v>
      </c>
      <c r="AB27">
        <v>9.0500000000000007</v>
      </c>
      <c r="AD27">
        <v>14.574999999999999</v>
      </c>
      <c r="AE27">
        <v>3.4</v>
      </c>
      <c r="AF27">
        <v>11649.2</v>
      </c>
      <c r="AG27">
        <v>13544</v>
      </c>
      <c r="AH27">
        <v>130.02000000000001</v>
      </c>
      <c r="AI27">
        <v>9.06</v>
      </c>
      <c r="AK27">
        <v>14.574999999999999</v>
      </c>
      <c r="AL27">
        <v>3.4</v>
      </c>
      <c r="AM27">
        <v>11651</v>
      </c>
      <c r="AN27">
        <v>13544</v>
      </c>
      <c r="AO27">
        <v>101.22</v>
      </c>
      <c r="AP27">
        <v>9.07</v>
      </c>
      <c r="AR27">
        <v>14.574999999999999</v>
      </c>
      <c r="AS27">
        <v>3.4</v>
      </c>
      <c r="AT27">
        <v>11649.2</v>
      </c>
      <c r="AU27">
        <v>13544</v>
      </c>
      <c r="AV27">
        <v>72.42</v>
      </c>
      <c r="AW27">
        <v>9.06</v>
      </c>
      <c r="AY27">
        <v>14.574999999999999</v>
      </c>
      <c r="AZ27">
        <v>3.4</v>
      </c>
      <c r="BA27">
        <v>11564.8</v>
      </c>
      <c r="BB27">
        <v>13504</v>
      </c>
      <c r="BC27">
        <v>43.22</v>
      </c>
      <c r="BD27">
        <v>9.41</v>
      </c>
      <c r="BF27" s="52">
        <v>9.1999999999999993</v>
      </c>
      <c r="BG27">
        <v>65392</v>
      </c>
      <c r="BH27">
        <v>64379</v>
      </c>
      <c r="BI27">
        <v>63367</v>
      </c>
      <c r="BJ27">
        <v>62354</v>
      </c>
      <c r="BK27">
        <v>61342</v>
      </c>
      <c r="BL27">
        <v>60329</v>
      </c>
      <c r="BM27">
        <v>59316</v>
      </c>
      <c r="BN27">
        <v>58304</v>
      </c>
      <c r="BO27">
        <v>57291</v>
      </c>
      <c r="BP27">
        <v>56279</v>
      </c>
      <c r="BQ27">
        <v>55266</v>
      </c>
      <c r="BR27">
        <v>54253</v>
      </c>
      <c r="BS27">
        <v>53240</v>
      </c>
      <c r="BT27">
        <v>52228</v>
      </c>
      <c r="BU27">
        <v>51215</v>
      </c>
      <c r="BV27">
        <v>50203</v>
      </c>
      <c r="BW27">
        <v>49190</v>
      </c>
      <c r="BX27">
        <v>48178</v>
      </c>
      <c r="BY27">
        <v>47165</v>
      </c>
      <c r="BZ27">
        <v>46153</v>
      </c>
      <c r="CA27">
        <v>45139</v>
      </c>
      <c r="CB27">
        <v>44127</v>
      </c>
      <c r="CC27">
        <v>43114</v>
      </c>
      <c r="CD27">
        <v>42102</v>
      </c>
      <c r="CE27">
        <v>41089</v>
      </c>
      <c r="CF27">
        <v>40077</v>
      </c>
      <c r="CG27">
        <v>39064</v>
      </c>
      <c r="CH27">
        <v>38052</v>
      </c>
      <c r="CI27">
        <v>37039</v>
      </c>
      <c r="CJ27">
        <v>36027</v>
      </c>
      <c r="CL27" s="52">
        <v>9.1999999999999993</v>
      </c>
      <c r="CM27">
        <v>1.2430000000000001</v>
      </c>
      <c r="CN27">
        <v>2.4990000000000001</v>
      </c>
      <c r="CO27">
        <v>3.0049999999999999</v>
      </c>
      <c r="CP27">
        <v>5.0650000000000004</v>
      </c>
      <c r="CQ27">
        <v>7.7279999999999998</v>
      </c>
      <c r="CR27">
        <v>9.6199999999999992</v>
      </c>
      <c r="CS27">
        <v>10.792999999999999</v>
      </c>
      <c r="CT27">
        <v>11.379</v>
      </c>
      <c r="CU27">
        <v>11.263999999999999</v>
      </c>
      <c r="CW27" s="52">
        <v>9.1999999999999993</v>
      </c>
      <c r="CX27">
        <v>1.2509999999999999</v>
      </c>
      <c r="CY27">
        <v>2.5150000000000001</v>
      </c>
      <c r="CZ27">
        <v>3.024</v>
      </c>
      <c r="DA27">
        <v>5.0949999999999998</v>
      </c>
      <c r="DB27">
        <v>7.7709999999999999</v>
      </c>
      <c r="DC27">
        <v>9.65</v>
      </c>
      <c r="DD27">
        <v>10.813000000000001</v>
      </c>
      <c r="DE27">
        <v>11.391999999999999</v>
      </c>
      <c r="DF27">
        <v>11.272</v>
      </c>
    </row>
    <row r="28" spans="2:110" ht="15" x14ac:dyDescent="0.35">
      <c r="B28" s="52" t="s">
        <v>24</v>
      </c>
      <c r="C28" s="1">
        <v>1008.5</v>
      </c>
      <c r="D28" s="1">
        <v>988.3</v>
      </c>
      <c r="E28" s="1">
        <v>130.6</v>
      </c>
      <c r="F28" s="1">
        <v>-14.86</v>
      </c>
      <c r="G28" s="1">
        <v>8.9</v>
      </c>
      <c r="H28" s="1">
        <v>90</v>
      </c>
      <c r="J28">
        <v>3.1</v>
      </c>
      <c r="K28">
        <v>14108</v>
      </c>
      <c r="L28">
        <v>3064</v>
      </c>
      <c r="M28">
        <v>101.21</v>
      </c>
      <c r="N28">
        <v>1.6</v>
      </c>
      <c r="O28">
        <v>100.45</v>
      </c>
      <c r="P28">
        <v>27.88</v>
      </c>
      <c r="Q28">
        <v>514.9</v>
      </c>
      <c r="R28">
        <v>48.8</v>
      </c>
      <c r="S28">
        <v>0.746</v>
      </c>
      <c r="T28">
        <v>4764</v>
      </c>
      <c r="U28">
        <v>5422</v>
      </c>
      <c r="W28" s="39">
        <v>14.175000000000001</v>
      </c>
      <c r="X28">
        <v>3.6</v>
      </c>
      <c r="Y28">
        <v>10802.9</v>
      </c>
      <c r="Z28">
        <v>11908</v>
      </c>
      <c r="AA28">
        <v>158.71</v>
      </c>
      <c r="AB28">
        <v>8.9700000000000006</v>
      </c>
      <c r="AD28">
        <v>14.375</v>
      </c>
      <c r="AE28">
        <v>3.6</v>
      </c>
      <c r="AF28">
        <v>11541.9</v>
      </c>
      <c r="AG28">
        <v>14130</v>
      </c>
      <c r="AH28">
        <v>130.02000000000001</v>
      </c>
      <c r="AI28">
        <v>9</v>
      </c>
      <c r="AK28">
        <v>14.375</v>
      </c>
      <c r="AL28">
        <v>3.6</v>
      </c>
      <c r="AM28">
        <v>11543.7</v>
      </c>
      <c r="AN28">
        <v>14130</v>
      </c>
      <c r="AO28">
        <v>101.22</v>
      </c>
      <c r="AP28">
        <v>9</v>
      </c>
      <c r="AR28">
        <v>14.375</v>
      </c>
      <c r="AS28">
        <v>3.6</v>
      </c>
      <c r="AT28">
        <v>11542</v>
      </c>
      <c r="AU28">
        <v>14130</v>
      </c>
      <c r="AV28">
        <v>72.42</v>
      </c>
      <c r="AW28">
        <v>9</v>
      </c>
      <c r="AY28">
        <v>14.375</v>
      </c>
      <c r="AZ28">
        <v>3.6</v>
      </c>
      <c r="BA28">
        <v>11442.1</v>
      </c>
      <c r="BB28">
        <v>14281</v>
      </c>
      <c r="BC28">
        <v>43.22</v>
      </c>
      <c r="BD28">
        <v>9.34</v>
      </c>
      <c r="BF28" s="52">
        <v>9.3000000000000007</v>
      </c>
      <c r="BG28">
        <v>65726</v>
      </c>
      <c r="BH28">
        <v>64701</v>
      </c>
      <c r="BI28">
        <v>63676</v>
      </c>
      <c r="BJ28">
        <v>62651</v>
      </c>
      <c r="BK28">
        <v>61627</v>
      </c>
      <c r="BL28">
        <v>60602</v>
      </c>
      <c r="BM28">
        <v>59577</v>
      </c>
      <c r="BN28">
        <v>58552</v>
      </c>
      <c r="BO28">
        <v>57528</v>
      </c>
      <c r="BP28">
        <v>56503</v>
      </c>
      <c r="BQ28">
        <v>55477</v>
      </c>
      <c r="BR28">
        <v>54452</v>
      </c>
      <c r="BS28">
        <v>53428</v>
      </c>
      <c r="BT28">
        <v>52403</v>
      </c>
      <c r="BU28">
        <v>51378</v>
      </c>
      <c r="BV28">
        <v>50353</v>
      </c>
      <c r="BW28">
        <v>49329</v>
      </c>
      <c r="BX28">
        <v>48304</v>
      </c>
      <c r="BY28">
        <v>47279</v>
      </c>
      <c r="BZ28">
        <v>46254</v>
      </c>
      <c r="CA28">
        <v>45229</v>
      </c>
      <c r="CB28">
        <v>44204</v>
      </c>
      <c r="CC28">
        <v>43179</v>
      </c>
      <c r="CD28">
        <v>42155</v>
      </c>
      <c r="CE28">
        <v>41130</v>
      </c>
      <c r="CF28">
        <v>40105</v>
      </c>
      <c r="CG28">
        <v>39081</v>
      </c>
      <c r="CH28">
        <v>38056</v>
      </c>
      <c r="CI28">
        <v>37031</v>
      </c>
      <c r="CJ28">
        <v>36007</v>
      </c>
      <c r="CL28" s="52">
        <v>9.3000000000000007</v>
      </c>
      <c r="CM28">
        <v>1.2390000000000001</v>
      </c>
      <c r="CN28">
        <v>2.492</v>
      </c>
      <c r="CO28">
        <v>2.996</v>
      </c>
      <c r="CP28">
        <v>5.0490000000000004</v>
      </c>
      <c r="CQ28">
        <v>7.7</v>
      </c>
      <c r="CR28">
        <v>9.5879999999999992</v>
      </c>
      <c r="CS28">
        <v>10.771000000000001</v>
      </c>
      <c r="CT28">
        <v>11.359</v>
      </c>
      <c r="CU28">
        <v>11.253</v>
      </c>
      <c r="CW28" s="52">
        <v>9.3000000000000007</v>
      </c>
      <c r="CX28">
        <v>1.2470000000000001</v>
      </c>
      <c r="CY28">
        <v>2.5070000000000001</v>
      </c>
      <c r="CZ28">
        <v>3.0139999999999998</v>
      </c>
      <c r="DA28">
        <v>5.0789999999999997</v>
      </c>
      <c r="DB28">
        <v>7.7430000000000003</v>
      </c>
      <c r="DC28">
        <v>9.6170000000000009</v>
      </c>
      <c r="DD28">
        <v>10.791</v>
      </c>
      <c r="DE28">
        <v>11.372</v>
      </c>
      <c r="DF28">
        <v>11.26</v>
      </c>
    </row>
    <row r="29" spans="2:110" ht="15" x14ac:dyDescent="0.35">
      <c r="B29" s="52" t="s">
        <v>32</v>
      </c>
      <c r="C29" s="1">
        <v>1008.5</v>
      </c>
      <c r="D29" s="1">
        <v>988.3</v>
      </c>
      <c r="E29" s="1">
        <v>130.6</v>
      </c>
      <c r="F29" s="1">
        <v>14.86</v>
      </c>
      <c r="G29" s="1">
        <v>8.9</v>
      </c>
      <c r="H29" s="1">
        <v>90</v>
      </c>
      <c r="J29">
        <v>3.2</v>
      </c>
      <c r="K29">
        <v>14597</v>
      </c>
      <c r="L29">
        <v>3553</v>
      </c>
      <c r="M29">
        <v>101.18</v>
      </c>
      <c r="N29">
        <v>1.65</v>
      </c>
      <c r="O29">
        <v>100.41</v>
      </c>
      <c r="P29">
        <v>27.16</v>
      </c>
      <c r="Q29">
        <v>518.20000000000005</v>
      </c>
      <c r="R29">
        <v>49</v>
      </c>
      <c r="S29">
        <v>0.748</v>
      </c>
      <c r="T29">
        <v>4776</v>
      </c>
      <c r="U29">
        <v>5464</v>
      </c>
      <c r="W29" s="39">
        <v>13.975</v>
      </c>
      <c r="X29">
        <v>3.8</v>
      </c>
      <c r="Y29">
        <v>10685.1</v>
      </c>
      <c r="Z29">
        <v>12548</v>
      </c>
      <c r="AA29">
        <v>158.72</v>
      </c>
      <c r="AB29">
        <v>8.9</v>
      </c>
      <c r="AD29">
        <v>14.175000000000001</v>
      </c>
      <c r="AE29">
        <v>3.8</v>
      </c>
      <c r="AF29">
        <v>11427.6</v>
      </c>
      <c r="AG29">
        <v>14778</v>
      </c>
      <c r="AH29">
        <v>130.02000000000001</v>
      </c>
      <c r="AI29">
        <v>8.93</v>
      </c>
      <c r="AK29">
        <v>14.175000000000001</v>
      </c>
      <c r="AL29">
        <v>3.8</v>
      </c>
      <c r="AM29">
        <v>11429.4</v>
      </c>
      <c r="AN29">
        <v>14778</v>
      </c>
      <c r="AO29">
        <v>101.22</v>
      </c>
      <c r="AP29">
        <v>8.93</v>
      </c>
      <c r="AR29">
        <v>14.175000000000001</v>
      </c>
      <c r="AS29">
        <v>3.8</v>
      </c>
      <c r="AT29">
        <v>11427.7</v>
      </c>
      <c r="AU29">
        <v>14778</v>
      </c>
      <c r="AV29">
        <v>72.42</v>
      </c>
      <c r="AW29">
        <v>8.93</v>
      </c>
      <c r="AY29">
        <v>14.175000000000001</v>
      </c>
      <c r="AZ29">
        <v>3.8</v>
      </c>
      <c r="BA29">
        <v>11315.8</v>
      </c>
      <c r="BB29">
        <v>15064</v>
      </c>
      <c r="BC29">
        <v>43.23</v>
      </c>
      <c r="BD29">
        <v>9.27</v>
      </c>
      <c r="BF29" s="52">
        <v>9.4</v>
      </c>
      <c r="BG29">
        <v>66069</v>
      </c>
      <c r="BH29">
        <v>65032</v>
      </c>
      <c r="BI29">
        <v>63995</v>
      </c>
      <c r="BJ29">
        <v>62958</v>
      </c>
      <c r="BK29">
        <v>61921</v>
      </c>
      <c r="BL29">
        <v>60884</v>
      </c>
      <c r="BM29">
        <v>59847</v>
      </c>
      <c r="BN29">
        <v>58810</v>
      </c>
      <c r="BO29">
        <v>57773</v>
      </c>
      <c r="BP29">
        <v>56736</v>
      </c>
      <c r="BQ29">
        <v>55698</v>
      </c>
      <c r="BR29">
        <v>54661</v>
      </c>
      <c r="BS29">
        <v>53624</v>
      </c>
      <c r="BT29">
        <v>52587</v>
      </c>
      <c r="BU29">
        <v>51550</v>
      </c>
      <c r="BV29">
        <v>50513</v>
      </c>
      <c r="BW29">
        <v>49476</v>
      </c>
      <c r="BX29">
        <v>48439</v>
      </c>
      <c r="BY29">
        <v>47402</v>
      </c>
      <c r="BZ29">
        <v>46365</v>
      </c>
      <c r="CA29">
        <v>45327</v>
      </c>
      <c r="CB29">
        <v>44290</v>
      </c>
      <c r="CC29">
        <v>43254</v>
      </c>
      <c r="CD29">
        <v>42217</v>
      </c>
      <c r="CE29">
        <v>41180</v>
      </c>
      <c r="CF29">
        <v>40143</v>
      </c>
      <c r="CG29">
        <v>39106</v>
      </c>
      <c r="CH29">
        <v>38069</v>
      </c>
      <c r="CI29">
        <v>37032</v>
      </c>
      <c r="CJ29">
        <v>35995</v>
      </c>
      <c r="CL29" s="52">
        <v>9.4</v>
      </c>
      <c r="CM29">
        <v>1.236</v>
      </c>
      <c r="CN29">
        <v>2.484</v>
      </c>
      <c r="CO29">
        <v>2.9870000000000001</v>
      </c>
      <c r="CP29">
        <v>5.0339999999999998</v>
      </c>
      <c r="CQ29">
        <v>7.673</v>
      </c>
      <c r="CR29">
        <v>9.5559999999999992</v>
      </c>
      <c r="CS29">
        <v>10.749000000000001</v>
      </c>
      <c r="CT29">
        <v>11.339</v>
      </c>
      <c r="CU29">
        <v>11.241</v>
      </c>
      <c r="CW29" s="52">
        <v>9.4</v>
      </c>
      <c r="CX29">
        <v>1.2430000000000001</v>
      </c>
      <c r="CY29">
        <v>2.5</v>
      </c>
      <c r="CZ29">
        <v>3.0049999999999999</v>
      </c>
      <c r="DA29">
        <v>5.0629999999999997</v>
      </c>
      <c r="DB29">
        <v>7.7140000000000004</v>
      </c>
      <c r="DC29">
        <v>9.5850000000000009</v>
      </c>
      <c r="DD29">
        <v>10.769</v>
      </c>
      <c r="DE29">
        <v>11.351000000000001</v>
      </c>
      <c r="DF29">
        <v>11.247999999999999</v>
      </c>
    </row>
    <row r="30" spans="2:110" ht="15" x14ac:dyDescent="0.35">
      <c r="B30" s="52" t="s">
        <v>33</v>
      </c>
      <c r="C30" s="1">
        <v>607.70000000000005</v>
      </c>
      <c r="D30" s="1">
        <v>595.6</v>
      </c>
      <c r="E30" s="1">
        <v>104.11</v>
      </c>
      <c r="F30" s="1">
        <v>-7.49</v>
      </c>
      <c r="G30" s="1">
        <v>1.24</v>
      </c>
      <c r="H30" s="1">
        <v>2680</v>
      </c>
      <c r="J30">
        <v>3.3</v>
      </c>
      <c r="K30">
        <v>15087</v>
      </c>
      <c r="L30">
        <v>4043</v>
      </c>
      <c r="M30">
        <v>101.16</v>
      </c>
      <c r="N30">
        <v>1.7</v>
      </c>
      <c r="O30">
        <v>100.37</v>
      </c>
      <c r="P30">
        <v>26.49</v>
      </c>
      <c r="Q30">
        <v>521.4</v>
      </c>
      <c r="R30">
        <v>49.1</v>
      </c>
      <c r="S30">
        <v>0.75</v>
      </c>
      <c r="T30">
        <v>4788</v>
      </c>
      <c r="U30">
        <v>5507</v>
      </c>
      <c r="W30" s="39">
        <v>13.775</v>
      </c>
      <c r="X30">
        <v>4</v>
      </c>
      <c r="Y30">
        <v>10564.3</v>
      </c>
      <c r="Z30">
        <v>13180</v>
      </c>
      <c r="AA30">
        <v>158.72</v>
      </c>
      <c r="AB30">
        <v>8.82</v>
      </c>
      <c r="AD30">
        <v>13.975</v>
      </c>
      <c r="AE30">
        <v>4</v>
      </c>
      <c r="AF30">
        <v>11306.4</v>
      </c>
      <c r="AG30">
        <v>15488</v>
      </c>
      <c r="AH30">
        <v>130.02000000000001</v>
      </c>
      <c r="AI30">
        <v>8.85</v>
      </c>
      <c r="AK30">
        <v>13.975</v>
      </c>
      <c r="AL30">
        <v>4</v>
      </c>
      <c r="AM30">
        <v>11308.2</v>
      </c>
      <c r="AN30">
        <v>15488</v>
      </c>
      <c r="AO30">
        <v>101.22</v>
      </c>
      <c r="AP30">
        <v>8.85</v>
      </c>
      <c r="AR30">
        <v>13.975</v>
      </c>
      <c r="AS30">
        <v>4</v>
      </c>
      <c r="AT30">
        <v>11306.4</v>
      </c>
      <c r="AU30">
        <v>15488</v>
      </c>
      <c r="AV30">
        <v>72.42</v>
      </c>
      <c r="AW30">
        <v>8.85</v>
      </c>
      <c r="AY30">
        <v>13.975</v>
      </c>
      <c r="AZ30">
        <v>4</v>
      </c>
      <c r="BA30">
        <v>11186</v>
      </c>
      <c r="BB30">
        <v>15855</v>
      </c>
      <c r="BC30">
        <v>43.23</v>
      </c>
      <c r="BD30">
        <v>9.19</v>
      </c>
      <c r="BF30" s="52">
        <v>9.5</v>
      </c>
      <c r="BG30">
        <v>66421</v>
      </c>
      <c r="BH30">
        <v>65372</v>
      </c>
      <c r="BI30">
        <v>64323</v>
      </c>
      <c r="BJ30">
        <v>63273</v>
      </c>
      <c r="BK30">
        <v>62224</v>
      </c>
      <c r="BL30">
        <v>61175</v>
      </c>
      <c r="BM30">
        <v>60125</v>
      </c>
      <c r="BN30">
        <v>59076</v>
      </c>
      <c r="BO30">
        <v>58027</v>
      </c>
      <c r="BP30">
        <v>56978</v>
      </c>
      <c r="BQ30">
        <v>55928</v>
      </c>
      <c r="BR30">
        <v>54879</v>
      </c>
      <c r="BS30">
        <v>53829</v>
      </c>
      <c r="BT30">
        <v>52780</v>
      </c>
      <c r="BU30">
        <v>51731</v>
      </c>
      <c r="BV30">
        <v>50682</v>
      </c>
      <c r="BW30">
        <v>49633</v>
      </c>
      <c r="BX30">
        <v>48583</v>
      </c>
      <c r="BY30">
        <v>47534</v>
      </c>
      <c r="BZ30">
        <v>46485</v>
      </c>
      <c r="CA30">
        <v>45435</v>
      </c>
      <c r="CB30">
        <v>44386</v>
      </c>
      <c r="CC30">
        <v>43337</v>
      </c>
      <c r="CD30">
        <v>42288</v>
      </c>
      <c r="CE30">
        <v>41238</v>
      </c>
      <c r="CF30">
        <v>40189</v>
      </c>
      <c r="CG30">
        <v>39140</v>
      </c>
      <c r="CH30">
        <v>38091</v>
      </c>
      <c r="CI30">
        <v>37042</v>
      </c>
      <c r="CJ30">
        <v>35993</v>
      </c>
      <c r="CL30" s="52">
        <v>9.5</v>
      </c>
      <c r="CM30">
        <v>1.232</v>
      </c>
      <c r="CN30">
        <v>2.4769999999999999</v>
      </c>
      <c r="CO30">
        <v>2.9790000000000001</v>
      </c>
      <c r="CP30">
        <v>5.0199999999999996</v>
      </c>
      <c r="CQ30">
        <v>7.6440000000000001</v>
      </c>
      <c r="CR30">
        <v>9.5239999999999991</v>
      </c>
      <c r="CS30">
        <v>10.727</v>
      </c>
      <c r="CT30">
        <v>11.318</v>
      </c>
      <c r="CU30">
        <v>11.23</v>
      </c>
      <c r="CW30" s="52">
        <v>9.5</v>
      </c>
      <c r="CX30">
        <v>1.24</v>
      </c>
      <c r="CY30">
        <v>2.492</v>
      </c>
      <c r="CZ30">
        <v>2.9969999999999999</v>
      </c>
      <c r="DA30">
        <v>5.0490000000000004</v>
      </c>
      <c r="DB30">
        <v>7.6849999999999996</v>
      </c>
      <c r="DC30">
        <v>9.5519999999999996</v>
      </c>
      <c r="DD30">
        <v>10.747</v>
      </c>
      <c r="DE30">
        <v>11.33</v>
      </c>
      <c r="DF30">
        <v>11.236000000000001</v>
      </c>
    </row>
    <row r="31" spans="2:110" ht="15" x14ac:dyDescent="0.35">
      <c r="B31" s="52" t="s">
        <v>34</v>
      </c>
      <c r="C31" s="1">
        <v>607.70000000000005</v>
      </c>
      <c r="D31" s="1">
        <v>595.6</v>
      </c>
      <c r="E31" s="1">
        <v>104.11</v>
      </c>
      <c r="F31" s="1">
        <v>7.49</v>
      </c>
      <c r="G31" s="1">
        <v>1.24</v>
      </c>
      <c r="H31" s="1">
        <v>2680</v>
      </c>
      <c r="J31">
        <v>3.4</v>
      </c>
      <c r="K31">
        <v>15578</v>
      </c>
      <c r="L31">
        <v>4534</v>
      </c>
      <c r="M31">
        <v>101.13</v>
      </c>
      <c r="N31">
        <v>1.75</v>
      </c>
      <c r="O31">
        <v>100.35</v>
      </c>
      <c r="P31">
        <v>25.86</v>
      </c>
      <c r="Q31">
        <v>524.4</v>
      </c>
      <c r="R31">
        <v>49.2</v>
      </c>
      <c r="S31">
        <v>0.752</v>
      </c>
      <c r="T31">
        <v>4800</v>
      </c>
      <c r="U31">
        <v>5549</v>
      </c>
      <c r="W31" s="39">
        <v>13.574999999999999</v>
      </c>
      <c r="X31">
        <v>4.2</v>
      </c>
      <c r="Y31">
        <v>10438.1</v>
      </c>
      <c r="Z31">
        <v>13831</v>
      </c>
      <c r="AA31">
        <v>158.72</v>
      </c>
      <c r="AB31">
        <v>8.74</v>
      </c>
      <c r="AD31">
        <v>13.775</v>
      </c>
      <c r="AE31">
        <v>4.2</v>
      </c>
      <c r="AF31">
        <v>11181.1</v>
      </c>
      <c r="AG31">
        <v>16215</v>
      </c>
      <c r="AH31">
        <v>130.02000000000001</v>
      </c>
      <c r="AI31">
        <v>8.7799999999999994</v>
      </c>
      <c r="AK31">
        <v>13.775</v>
      </c>
      <c r="AL31">
        <v>4.2</v>
      </c>
      <c r="AM31">
        <v>11182.9</v>
      </c>
      <c r="AN31">
        <v>16215</v>
      </c>
      <c r="AO31">
        <v>101.22</v>
      </c>
      <c r="AP31">
        <v>8.7799999999999994</v>
      </c>
      <c r="AR31">
        <v>13.775</v>
      </c>
      <c r="AS31">
        <v>4.2</v>
      </c>
      <c r="AT31">
        <v>11181.2</v>
      </c>
      <c r="AU31">
        <v>16215</v>
      </c>
      <c r="AV31">
        <v>72.42</v>
      </c>
      <c r="AW31">
        <v>8.7799999999999994</v>
      </c>
      <c r="AY31">
        <v>13.775</v>
      </c>
      <c r="AZ31">
        <v>4.2</v>
      </c>
      <c r="BA31">
        <v>11054.2</v>
      </c>
      <c r="BB31">
        <v>16632</v>
      </c>
      <c r="BC31">
        <v>43.24</v>
      </c>
      <c r="BD31">
        <v>9.11</v>
      </c>
      <c r="BF31" s="52">
        <v>9.6</v>
      </c>
      <c r="BG31">
        <v>66783</v>
      </c>
      <c r="BH31">
        <v>65722</v>
      </c>
      <c r="BI31">
        <v>64660</v>
      </c>
      <c r="BJ31">
        <v>63599</v>
      </c>
      <c r="BK31">
        <v>62537</v>
      </c>
      <c r="BL31">
        <v>61476</v>
      </c>
      <c r="BM31">
        <v>60414</v>
      </c>
      <c r="BN31">
        <v>59353</v>
      </c>
      <c r="BO31">
        <v>58291</v>
      </c>
      <c r="BP31">
        <v>57230</v>
      </c>
      <c r="BQ31">
        <v>56167</v>
      </c>
      <c r="BR31">
        <v>55106</v>
      </c>
      <c r="BS31">
        <v>54044</v>
      </c>
      <c r="BT31">
        <v>52983</v>
      </c>
      <c r="BU31">
        <v>51921</v>
      </c>
      <c r="BV31">
        <v>50860</v>
      </c>
      <c r="BW31">
        <v>49798</v>
      </c>
      <c r="BX31">
        <v>48737</v>
      </c>
      <c r="BY31">
        <v>47676</v>
      </c>
      <c r="BZ31">
        <v>46614</v>
      </c>
      <c r="CA31">
        <v>45552</v>
      </c>
      <c r="CB31">
        <v>44491</v>
      </c>
      <c r="CC31">
        <v>43429</v>
      </c>
      <c r="CD31">
        <v>42368</v>
      </c>
      <c r="CE31">
        <v>41306</v>
      </c>
      <c r="CF31">
        <v>40245</v>
      </c>
      <c r="CG31">
        <v>39184</v>
      </c>
      <c r="CH31">
        <v>38122</v>
      </c>
      <c r="CI31">
        <v>37061</v>
      </c>
      <c r="CJ31">
        <v>36000</v>
      </c>
      <c r="CL31" s="52">
        <v>9.6</v>
      </c>
      <c r="CM31">
        <v>1.2290000000000001</v>
      </c>
      <c r="CN31">
        <v>2.4710000000000001</v>
      </c>
      <c r="CO31">
        <v>2.9710000000000001</v>
      </c>
      <c r="CP31">
        <v>5.0060000000000002</v>
      </c>
      <c r="CQ31">
        <v>7.6159999999999997</v>
      </c>
      <c r="CR31">
        <v>9.4920000000000009</v>
      </c>
      <c r="CS31">
        <v>10.704000000000001</v>
      </c>
      <c r="CT31">
        <v>11.297000000000001</v>
      </c>
      <c r="CU31">
        <v>11.218</v>
      </c>
      <c r="CW31" s="52">
        <v>9.6</v>
      </c>
      <c r="CX31">
        <v>1.236</v>
      </c>
      <c r="CY31">
        <v>2.4860000000000002</v>
      </c>
      <c r="CZ31">
        <v>2.9889999999999999</v>
      </c>
      <c r="DA31">
        <v>5.0339999999999998</v>
      </c>
      <c r="DB31">
        <v>7.6559999999999997</v>
      </c>
      <c r="DC31">
        <v>9.52</v>
      </c>
      <c r="DD31">
        <v>10.724</v>
      </c>
      <c r="DE31">
        <v>11.308999999999999</v>
      </c>
      <c r="DF31">
        <v>11.224</v>
      </c>
    </row>
    <row r="32" spans="2:110" ht="15" x14ac:dyDescent="0.35">
      <c r="B32" s="52" t="s">
        <v>35</v>
      </c>
      <c r="C32" s="1">
        <v>1009.8</v>
      </c>
      <c r="D32" s="1">
        <v>989.6</v>
      </c>
      <c r="E32" s="1">
        <v>101.82</v>
      </c>
      <c r="F32" s="1">
        <v>-14.86</v>
      </c>
      <c r="G32" s="1">
        <v>8.89</v>
      </c>
      <c r="H32" s="1">
        <v>91</v>
      </c>
      <c r="J32">
        <v>3.5</v>
      </c>
      <c r="K32">
        <v>16071</v>
      </c>
      <c r="L32">
        <v>5027</v>
      </c>
      <c r="M32">
        <v>101.11</v>
      </c>
      <c r="N32">
        <v>1.81</v>
      </c>
      <c r="O32">
        <v>100.32</v>
      </c>
      <c r="P32">
        <v>25.26</v>
      </c>
      <c r="Q32">
        <v>527.20000000000005</v>
      </c>
      <c r="R32">
        <v>49.3</v>
      </c>
      <c r="S32">
        <v>0.753</v>
      </c>
      <c r="T32">
        <v>4811</v>
      </c>
      <c r="U32">
        <v>5591</v>
      </c>
      <c r="W32" s="39">
        <v>13.375</v>
      </c>
      <c r="X32">
        <v>4.4000000000000004</v>
      </c>
      <c r="Y32">
        <v>10308.4</v>
      </c>
      <c r="Z32">
        <v>14465</v>
      </c>
      <c r="AA32">
        <v>158.72</v>
      </c>
      <c r="AB32">
        <v>8.66</v>
      </c>
      <c r="AD32">
        <v>13.574999999999999</v>
      </c>
      <c r="AE32">
        <v>4.4000000000000004</v>
      </c>
      <c r="AF32">
        <v>11049.8</v>
      </c>
      <c r="AG32">
        <v>16961</v>
      </c>
      <c r="AH32">
        <v>130.02000000000001</v>
      </c>
      <c r="AI32">
        <v>8.6999999999999993</v>
      </c>
      <c r="AK32">
        <v>13.574999999999999</v>
      </c>
      <c r="AL32">
        <v>4.4000000000000004</v>
      </c>
      <c r="AM32">
        <v>11051.6</v>
      </c>
      <c r="AN32">
        <v>16962</v>
      </c>
      <c r="AO32">
        <v>101.22</v>
      </c>
      <c r="AP32">
        <v>8.6999999999999993</v>
      </c>
      <c r="AR32">
        <v>13.574999999999999</v>
      </c>
      <c r="AS32">
        <v>4.4000000000000004</v>
      </c>
      <c r="AT32">
        <v>11049.9</v>
      </c>
      <c r="AU32">
        <v>16961</v>
      </c>
      <c r="AV32">
        <v>72.42</v>
      </c>
      <c r="AW32">
        <v>8.6999999999999993</v>
      </c>
      <c r="AY32">
        <v>13.574999999999999</v>
      </c>
      <c r="AZ32">
        <v>4.4000000000000004</v>
      </c>
      <c r="BA32">
        <v>10917</v>
      </c>
      <c r="BB32">
        <v>17420</v>
      </c>
      <c r="BC32">
        <v>43.25</v>
      </c>
      <c r="BD32">
        <v>9.0299999999999994</v>
      </c>
      <c r="BF32" s="52">
        <v>9.6999999999999993</v>
      </c>
      <c r="BG32">
        <v>67156</v>
      </c>
      <c r="BH32">
        <v>66082</v>
      </c>
      <c r="BI32">
        <v>65008</v>
      </c>
      <c r="BJ32">
        <v>63934</v>
      </c>
      <c r="BK32">
        <v>62860</v>
      </c>
      <c r="BL32">
        <v>61787</v>
      </c>
      <c r="BM32">
        <v>60713</v>
      </c>
      <c r="BN32">
        <v>59639</v>
      </c>
      <c r="BO32">
        <v>58565</v>
      </c>
      <c r="BP32">
        <v>57491</v>
      </c>
      <c r="BQ32">
        <v>56417</v>
      </c>
      <c r="BR32">
        <v>55343</v>
      </c>
      <c r="BS32">
        <v>54269</v>
      </c>
      <c r="BT32">
        <v>53196</v>
      </c>
      <c r="BU32">
        <v>52122</v>
      </c>
      <c r="BV32">
        <v>51048</v>
      </c>
      <c r="BW32">
        <v>49975</v>
      </c>
      <c r="BX32">
        <v>48901</v>
      </c>
      <c r="BY32">
        <v>47827</v>
      </c>
      <c r="BZ32">
        <v>46753</v>
      </c>
      <c r="CA32">
        <v>45679</v>
      </c>
      <c r="CB32">
        <v>44605</v>
      </c>
      <c r="CC32">
        <v>43532</v>
      </c>
      <c r="CD32">
        <v>42458</v>
      </c>
      <c r="CE32">
        <v>41384</v>
      </c>
      <c r="CF32">
        <v>40311</v>
      </c>
      <c r="CG32">
        <v>39237</v>
      </c>
      <c r="CH32">
        <v>38163</v>
      </c>
      <c r="CI32">
        <v>37090</v>
      </c>
      <c r="CJ32">
        <v>36016</v>
      </c>
      <c r="CL32" s="52">
        <v>9.6999999999999993</v>
      </c>
      <c r="CM32">
        <v>1.226</v>
      </c>
      <c r="CN32">
        <v>2.4649999999999999</v>
      </c>
      <c r="CO32">
        <v>2.9630000000000001</v>
      </c>
      <c r="CP32">
        <v>4.9930000000000003</v>
      </c>
      <c r="CQ32">
        <v>7.5869999999999997</v>
      </c>
      <c r="CR32">
        <v>9.4610000000000003</v>
      </c>
      <c r="CS32">
        <v>10.680999999999999</v>
      </c>
      <c r="CT32">
        <v>11.275</v>
      </c>
      <c r="CU32">
        <v>11.206</v>
      </c>
      <c r="CW32" s="52">
        <v>9.6999999999999993</v>
      </c>
      <c r="CX32">
        <v>1.2330000000000001</v>
      </c>
      <c r="CY32">
        <v>2.4790000000000001</v>
      </c>
      <c r="CZ32">
        <v>2.9809999999999999</v>
      </c>
      <c r="DA32">
        <v>5.0209999999999999</v>
      </c>
      <c r="DB32">
        <v>7.6260000000000003</v>
      </c>
      <c r="DC32">
        <v>9.4890000000000008</v>
      </c>
      <c r="DD32">
        <v>10.701000000000001</v>
      </c>
      <c r="DE32">
        <v>11.287000000000001</v>
      </c>
      <c r="DF32">
        <v>11.212</v>
      </c>
    </row>
    <row r="33" spans="2:110" ht="15" x14ac:dyDescent="0.35">
      <c r="B33" s="52" t="s">
        <v>36</v>
      </c>
      <c r="C33" s="1">
        <v>1009.8</v>
      </c>
      <c r="D33" s="1">
        <v>989.6</v>
      </c>
      <c r="E33" s="1">
        <v>101.82</v>
      </c>
      <c r="F33" s="1">
        <v>14.86</v>
      </c>
      <c r="G33" s="1">
        <v>8.89</v>
      </c>
      <c r="H33" s="1">
        <v>91</v>
      </c>
      <c r="J33">
        <v>3.6</v>
      </c>
      <c r="K33">
        <v>16565</v>
      </c>
      <c r="L33">
        <v>5521</v>
      </c>
      <c r="M33">
        <v>101.08</v>
      </c>
      <c r="N33">
        <v>1.86</v>
      </c>
      <c r="O33">
        <v>100.28</v>
      </c>
      <c r="P33">
        <v>24.7</v>
      </c>
      <c r="Q33">
        <v>530</v>
      </c>
      <c r="R33">
        <v>49.4</v>
      </c>
      <c r="S33">
        <v>0.755</v>
      </c>
      <c r="T33">
        <v>4821</v>
      </c>
      <c r="U33">
        <v>5632</v>
      </c>
      <c r="W33" s="39">
        <v>13.175000000000001</v>
      </c>
      <c r="X33">
        <v>4.5999999999999996</v>
      </c>
      <c r="Y33">
        <v>10174.700000000001</v>
      </c>
      <c r="Z33">
        <v>15083</v>
      </c>
      <c r="AA33">
        <v>158.72</v>
      </c>
      <c r="AB33">
        <v>8.57</v>
      </c>
      <c r="AD33">
        <v>13.375</v>
      </c>
      <c r="AE33">
        <v>4.5999999999999996</v>
      </c>
      <c r="AF33">
        <v>10914.5</v>
      </c>
      <c r="AG33">
        <v>17687</v>
      </c>
      <c r="AH33">
        <v>130.02000000000001</v>
      </c>
      <c r="AI33">
        <v>8.61</v>
      </c>
      <c r="AK33">
        <v>13.375</v>
      </c>
      <c r="AL33">
        <v>4.5999999999999996</v>
      </c>
      <c r="AM33">
        <v>10916.3</v>
      </c>
      <c r="AN33">
        <v>17688</v>
      </c>
      <c r="AO33">
        <v>101.22</v>
      </c>
      <c r="AP33">
        <v>8.61</v>
      </c>
      <c r="AR33">
        <v>13.375</v>
      </c>
      <c r="AS33">
        <v>4.5999999999999996</v>
      </c>
      <c r="AT33">
        <v>10914.6</v>
      </c>
      <c r="AU33">
        <v>17687</v>
      </c>
      <c r="AV33">
        <v>72.42</v>
      </c>
      <c r="AW33">
        <v>8.61</v>
      </c>
      <c r="AY33">
        <v>13.375</v>
      </c>
      <c r="AZ33">
        <v>4.5999999999999996</v>
      </c>
      <c r="BA33">
        <v>10772.9</v>
      </c>
      <c r="BB33">
        <v>18220</v>
      </c>
      <c r="BC33">
        <v>43.25</v>
      </c>
      <c r="BD33">
        <v>8.9499999999999993</v>
      </c>
      <c r="BF33" s="52">
        <v>9.8000000000000007</v>
      </c>
      <c r="BG33">
        <v>67539</v>
      </c>
      <c r="BH33">
        <v>66453</v>
      </c>
      <c r="BI33">
        <v>65367</v>
      </c>
      <c r="BJ33">
        <v>64280</v>
      </c>
      <c r="BK33">
        <v>63194</v>
      </c>
      <c r="BL33">
        <v>62108</v>
      </c>
      <c r="BM33">
        <v>61022</v>
      </c>
      <c r="BN33">
        <v>59936</v>
      </c>
      <c r="BO33">
        <v>58850</v>
      </c>
      <c r="BP33">
        <v>57764</v>
      </c>
      <c r="BQ33">
        <v>56677</v>
      </c>
      <c r="BR33">
        <v>55591</v>
      </c>
      <c r="BS33">
        <v>54505</v>
      </c>
      <c r="BT33">
        <v>53419</v>
      </c>
      <c r="BU33">
        <v>52333</v>
      </c>
      <c r="BV33">
        <v>51247</v>
      </c>
      <c r="BW33">
        <v>50161</v>
      </c>
      <c r="BX33">
        <v>49075</v>
      </c>
      <c r="BY33">
        <v>47989</v>
      </c>
      <c r="BZ33">
        <v>46903</v>
      </c>
      <c r="CA33">
        <v>45816</v>
      </c>
      <c r="CB33">
        <v>44730</v>
      </c>
      <c r="CC33">
        <v>43644</v>
      </c>
      <c r="CD33">
        <v>42558</v>
      </c>
      <c r="CE33">
        <v>41473</v>
      </c>
      <c r="CF33">
        <v>40387</v>
      </c>
      <c r="CG33">
        <v>39301</v>
      </c>
      <c r="CH33">
        <v>38215</v>
      </c>
      <c r="CI33">
        <v>37129</v>
      </c>
      <c r="CJ33">
        <v>36043</v>
      </c>
      <c r="CL33" s="52">
        <v>9.8000000000000007</v>
      </c>
      <c r="CM33">
        <v>1.2230000000000001</v>
      </c>
      <c r="CN33">
        <v>2.4590000000000001</v>
      </c>
      <c r="CO33">
        <v>2.956</v>
      </c>
      <c r="CP33">
        <v>4.9809999999999999</v>
      </c>
      <c r="CQ33">
        <v>7.5590000000000002</v>
      </c>
      <c r="CR33">
        <v>9.43</v>
      </c>
      <c r="CS33">
        <v>10.657999999999999</v>
      </c>
      <c r="CT33">
        <v>11.254</v>
      </c>
      <c r="CU33">
        <v>11.194000000000001</v>
      </c>
      <c r="CW33" s="52">
        <v>9.8000000000000007</v>
      </c>
      <c r="CX33">
        <v>1.23</v>
      </c>
      <c r="CY33">
        <v>2.4729999999999999</v>
      </c>
      <c r="CZ33">
        <v>2.9729999999999999</v>
      </c>
      <c r="DA33">
        <v>5.008</v>
      </c>
      <c r="DB33">
        <v>7.5960000000000001</v>
      </c>
      <c r="DC33">
        <v>9.4570000000000007</v>
      </c>
      <c r="DD33">
        <v>10.677</v>
      </c>
      <c r="DE33">
        <v>11.266</v>
      </c>
      <c r="DF33">
        <v>11.199</v>
      </c>
    </row>
    <row r="34" spans="2:110" ht="15" x14ac:dyDescent="0.35">
      <c r="B34" s="52" t="s">
        <v>37</v>
      </c>
      <c r="C34" s="1">
        <v>607.70000000000005</v>
      </c>
      <c r="D34" s="1">
        <v>595.6</v>
      </c>
      <c r="E34" s="1">
        <v>75.31</v>
      </c>
      <c r="F34" s="1">
        <v>-7.49</v>
      </c>
      <c r="G34" s="1">
        <v>1.24</v>
      </c>
      <c r="H34" s="1">
        <v>2680</v>
      </c>
      <c r="J34">
        <v>3.7</v>
      </c>
      <c r="K34">
        <v>17059</v>
      </c>
      <c r="L34">
        <v>6015</v>
      </c>
      <c r="M34">
        <v>101.06</v>
      </c>
      <c r="N34">
        <v>1.91</v>
      </c>
      <c r="O34">
        <v>100.25</v>
      </c>
      <c r="P34">
        <v>24.17</v>
      </c>
      <c r="Q34">
        <v>532.79999999999995</v>
      </c>
      <c r="R34">
        <v>49.5</v>
      </c>
      <c r="S34">
        <v>0.75700000000000001</v>
      </c>
      <c r="T34">
        <v>4832</v>
      </c>
      <c r="U34">
        <v>5674</v>
      </c>
      <c r="W34" s="39">
        <v>12.975</v>
      </c>
      <c r="X34">
        <v>4.8</v>
      </c>
      <c r="Y34">
        <v>10036.6</v>
      </c>
      <c r="Z34">
        <v>15684</v>
      </c>
      <c r="AA34">
        <v>158.72</v>
      </c>
      <c r="AB34">
        <v>8.48</v>
      </c>
      <c r="AD34">
        <v>13.175000000000001</v>
      </c>
      <c r="AE34">
        <v>4.8</v>
      </c>
      <c r="AF34">
        <v>10775.3</v>
      </c>
      <c r="AG34">
        <v>18390</v>
      </c>
      <c r="AH34">
        <v>130.02000000000001</v>
      </c>
      <c r="AI34">
        <v>8.5299999999999994</v>
      </c>
      <c r="AK34">
        <v>13.175000000000001</v>
      </c>
      <c r="AL34">
        <v>4.8</v>
      </c>
      <c r="AM34">
        <v>10777</v>
      </c>
      <c r="AN34">
        <v>18391</v>
      </c>
      <c r="AO34">
        <v>101.22</v>
      </c>
      <c r="AP34">
        <v>8.5299999999999994</v>
      </c>
      <c r="AR34">
        <v>13.175000000000001</v>
      </c>
      <c r="AS34">
        <v>4.8</v>
      </c>
      <c r="AT34">
        <v>10775.3</v>
      </c>
      <c r="AU34">
        <v>18390</v>
      </c>
      <c r="AV34">
        <v>72.42</v>
      </c>
      <c r="AW34">
        <v>8.5299999999999994</v>
      </c>
      <c r="AY34">
        <v>13.175000000000001</v>
      </c>
      <c r="AZ34">
        <v>4.8</v>
      </c>
      <c r="BA34">
        <v>10624.7</v>
      </c>
      <c r="BB34">
        <v>18995</v>
      </c>
      <c r="BC34">
        <v>43.26</v>
      </c>
      <c r="BD34">
        <v>8.86</v>
      </c>
      <c r="BF34" s="52">
        <v>9.9</v>
      </c>
      <c r="BG34">
        <v>67933</v>
      </c>
      <c r="BH34">
        <v>66834</v>
      </c>
      <c r="BI34">
        <v>65736</v>
      </c>
      <c r="BJ34">
        <v>64637</v>
      </c>
      <c r="BK34">
        <v>63539</v>
      </c>
      <c r="BL34">
        <v>62440</v>
      </c>
      <c r="BM34">
        <v>61342</v>
      </c>
      <c r="BN34">
        <v>60244</v>
      </c>
      <c r="BO34">
        <v>59145</v>
      </c>
      <c r="BP34">
        <v>58047</v>
      </c>
      <c r="BQ34">
        <v>56948</v>
      </c>
      <c r="BR34">
        <v>55849</v>
      </c>
      <c r="BS34">
        <v>54751</v>
      </c>
      <c r="BT34">
        <v>53653</v>
      </c>
      <c r="BU34">
        <v>52554</v>
      </c>
      <c r="BV34">
        <v>51456</v>
      </c>
      <c r="BW34">
        <v>50358</v>
      </c>
      <c r="BX34">
        <v>49260</v>
      </c>
      <c r="BY34">
        <v>48161</v>
      </c>
      <c r="BZ34">
        <v>47063</v>
      </c>
      <c r="CA34">
        <v>45964</v>
      </c>
      <c r="CB34">
        <v>44866</v>
      </c>
      <c r="CC34">
        <v>43767</v>
      </c>
      <c r="CD34">
        <v>42669</v>
      </c>
      <c r="CE34">
        <v>41571</v>
      </c>
      <c r="CF34">
        <v>40473</v>
      </c>
      <c r="CG34">
        <v>39375</v>
      </c>
      <c r="CH34">
        <v>38276</v>
      </c>
      <c r="CI34">
        <v>37178</v>
      </c>
      <c r="CJ34">
        <v>36080</v>
      </c>
      <c r="CL34" s="52">
        <v>9.9</v>
      </c>
      <c r="CM34">
        <v>1.22</v>
      </c>
      <c r="CN34">
        <v>2.4529999999999998</v>
      </c>
      <c r="CO34">
        <v>2.9489999999999998</v>
      </c>
      <c r="CP34">
        <v>4.9690000000000003</v>
      </c>
      <c r="CQ34">
        <v>7.53</v>
      </c>
      <c r="CR34">
        <v>9.4</v>
      </c>
      <c r="CS34">
        <v>10.634</v>
      </c>
      <c r="CT34">
        <v>11.231999999999999</v>
      </c>
      <c r="CU34">
        <v>11.180999999999999</v>
      </c>
      <c r="CW34" s="52">
        <v>9.9</v>
      </c>
      <c r="CX34">
        <v>1.2270000000000001</v>
      </c>
      <c r="CY34">
        <v>2.4670000000000001</v>
      </c>
      <c r="CZ34">
        <v>2.9660000000000002</v>
      </c>
      <c r="DA34">
        <v>4.9960000000000004</v>
      </c>
      <c r="DB34">
        <v>7.5670000000000002</v>
      </c>
      <c r="DC34">
        <v>9.4260000000000002</v>
      </c>
      <c r="DD34">
        <v>10.653</v>
      </c>
      <c r="DE34">
        <v>11.244</v>
      </c>
      <c r="DF34">
        <v>11.186999999999999</v>
      </c>
    </row>
    <row r="35" spans="2:110" ht="15" x14ac:dyDescent="0.35">
      <c r="B35" s="52" t="s">
        <v>38</v>
      </c>
      <c r="C35" s="1">
        <v>607.70000000000005</v>
      </c>
      <c r="D35" s="1">
        <v>595.6</v>
      </c>
      <c r="E35" s="1">
        <v>75.31</v>
      </c>
      <c r="F35" s="1">
        <v>7.49</v>
      </c>
      <c r="G35" s="1">
        <v>1.24</v>
      </c>
      <c r="H35" s="1">
        <v>2680</v>
      </c>
      <c r="J35">
        <v>3.8</v>
      </c>
      <c r="K35">
        <v>17555</v>
      </c>
      <c r="L35">
        <v>6511</v>
      </c>
      <c r="M35">
        <v>101.04</v>
      </c>
      <c r="N35">
        <v>1.96</v>
      </c>
      <c r="O35">
        <v>100.21</v>
      </c>
      <c r="P35">
        <v>23.67</v>
      </c>
      <c r="Q35">
        <v>535.4</v>
      </c>
      <c r="R35">
        <v>49.6</v>
      </c>
      <c r="S35">
        <v>0.75800000000000001</v>
      </c>
      <c r="T35">
        <v>4842</v>
      </c>
      <c r="U35">
        <v>5716</v>
      </c>
      <c r="W35" s="39">
        <v>12.775</v>
      </c>
      <c r="X35">
        <v>5</v>
      </c>
      <c r="Y35">
        <v>9894.1</v>
      </c>
      <c r="Z35">
        <v>16266</v>
      </c>
      <c r="AA35">
        <v>158.72</v>
      </c>
      <c r="AB35">
        <v>8.39</v>
      </c>
      <c r="AD35">
        <v>12.975</v>
      </c>
      <c r="AE35">
        <v>5</v>
      </c>
      <c r="AF35">
        <v>10632.1</v>
      </c>
      <c r="AG35">
        <v>19068</v>
      </c>
      <c r="AH35">
        <v>130.02000000000001</v>
      </c>
      <c r="AI35">
        <v>8.44</v>
      </c>
      <c r="AK35">
        <v>12.975</v>
      </c>
      <c r="AL35">
        <v>5</v>
      </c>
      <c r="AM35">
        <v>10633.8</v>
      </c>
      <c r="AN35">
        <v>19070</v>
      </c>
      <c r="AO35">
        <v>101.22</v>
      </c>
      <c r="AP35">
        <v>8.44</v>
      </c>
      <c r="AR35">
        <v>12.975</v>
      </c>
      <c r="AS35">
        <v>5</v>
      </c>
      <c r="AT35">
        <v>10632.1</v>
      </c>
      <c r="AU35">
        <v>19068</v>
      </c>
      <c r="AV35">
        <v>72.42</v>
      </c>
      <c r="AW35">
        <v>8.44</v>
      </c>
      <c r="AY35">
        <v>12.975</v>
      </c>
      <c r="AZ35">
        <v>5</v>
      </c>
      <c r="BA35">
        <v>10472.1</v>
      </c>
      <c r="BB35">
        <v>19742</v>
      </c>
      <c r="BC35">
        <v>43.27</v>
      </c>
      <c r="BD35">
        <v>8.77</v>
      </c>
      <c r="BF35" s="52">
        <v>10</v>
      </c>
      <c r="BG35">
        <v>68332</v>
      </c>
      <c r="BH35">
        <v>67221</v>
      </c>
      <c r="BI35">
        <v>66111</v>
      </c>
      <c r="BJ35">
        <v>65000</v>
      </c>
      <c r="BK35">
        <v>63889</v>
      </c>
      <c r="BL35">
        <v>62778</v>
      </c>
      <c r="BM35">
        <v>61668</v>
      </c>
      <c r="BN35">
        <v>60557</v>
      </c>
      <c r="BO35">
        <v>59446</v>
      </c>
      <c r="BP35">
        <v>58335</v>
      </c>
      <c r="BQ35">
        <v>57224</v>
      </c>
      <c r="BR35">
        <v>56113</v>
      </c>
      <c r="BS35">
        <v>55003</v>
      </c>
      <c r="BT35">
        <v>53892</v>
      </c>
      <c r="BU35">
        <v>52781</v>
      </c>
      <c r="BV35">
        <v>51671</v>
      </c>
      <c r="BW35">
        <v>50560</v>
      </c>
      <c r="BX35">
        <v>49450</v>
      </c>
      <c r="BY35">
        <v>48339</v>
      </c>
      <c r="BZ35">
        <v>47229</v>
      </c>
      <c r="CA35">
        <v>46117</v>
      </c>
      <c r="CB35">
        <v>45007</v>
      </c>
      <c r="CC35">
        <v>43896</v>
      </c>
      <c r="CD35">
        <v>42786</v>
      </c>
      <c r="CE35">
        <v>41675</v>
      </c>
      <c r="CF35">
        <v>40565</v>
      </c>
      <c r="CG35">
        <v>39454</v>
      </c>
      <c r="CH35">
        <v>38344</v>
      </c>
      <c r="CI35">
        <v>37233</v>
      </c>
      <c r="CJ35">
        <v>36123</v>
      </c>
      <c r="CL35" s="52">
        <v>10</v>
      </c>
      <c r="CM35">
        <v>1.218</v>
      </c>
      <c r="CN35">
        <v>2.448</v>
      </c>
      <c r="CO35">
        <v>2.9430000000000001</v>
      </c>
      <c r="CP35">
        <v>4.9580000000000002</v>
      </c>
      <c r="CQ35">
        <v>7.5</v>
      </c>
      <c r="CR35">
        <v>9.3689999999999998</v>
      </c>
      <c r="CS35">
        <v>10.61</v>
      </c>
      <c r="CT35">
        <v>11.21</v>
      </c>
      <c r="CU35">
        <v>11.169</v>
      </c>
      <c r="CW35" s="52">
        <v>10</v>
      </c>
      <c r="CX35">
        <v>1.2250000000000001</v>
      </c>
      <c r="CY35">
        <v>2.4620000000000002</v>
      </c>
      <c r="CZ35">
        <v>2.9590000000000001</v>
      </c>
      <c r="DA35">
        <v>4.984</v>
      </c>
      <c r="DB35">
        <v>7.5359999999999996</v>
      </c>
      <c r="DC35">
        <v>9.3949999999999996</v>
      </c>
      <c r="DD35">
        <v>10.628</v>
      </c>
      <c r="DE35">
        <v>11.222</v>
      </c>
      <c r="DF35">
        <v>11.173999999999999</v>
      </c>
    </row>
    <row r="36" spans="2:110" ht="15" x14ac:dyDescent="0.35">
      <c r="B36" s="52" t="s">
        <v>39</v>
      </c>
      <c r="C36" s="1">
        <v>998.1</v>
      </c>
      <c r="D36" s="1">
        <v>978.2</v>
      </c>
      <c r="E36" s="1">
        <v>73.13</v>
      </c>
      <c r="F36" s="1">
        <v>-14.85</v>
      </c>
      <c r="G36" s="1">
        <v>8.98</v>
      </c>
      <c r="H36" s="1">
        <v>89</v>
      </c>
      <c r="J36">
        <v>3.9</v>
      </c>
      <c r="K36">
        <v>18052</v>
      </c>
      <c r="L36">
        <v>7008</v>
      </c>
      <c r="M36">
        <v>101.01</v>
      </c>
      <c r="N36">
        <v>2.0099999999999998</v>
      </c>
      <c r="O36">
        <v>100.18</v>
      </c>
      <c r="P36">
        <v>23.2</v>
      </c>
      <c r="Q36">
        <v>538.1</v>
      </c>
      <c r="R36">
        <v>49.7</v>
      </c>
      <c r="S36">
        <v>0.76</v>
      </c>
      <c r="T36">
        <v>4852</v>
      </c>
      <c r="U36">
        <v>5757</v>
      </c>
      <c r="W36" s="39">
        <v>12.574999999999999</v>
      </c>
      <c r="X36">
        <v>5.2</v>
      </c>
      <c r="Y36">
        <v>9748</v>
      </c>
      <c r="Z36">
        <v>16820</v>
      </c>
      <c r="AA36">
        <v>158.71</v>
      </c>
      <c r="AB36">
        <v>8.3000000000000007</v>
      </c>
      <c r="AD36">
        <v>12.775</v>
      </c>
      <c r="AE36">
        <v>5.2</v>
      </c>
      <c r="AF36">
        <v>10484.9</v>
      </c>
      <c r="AG36">
        <v>19721</v>
      </c>
      <c r="AH36">
        <v>130.02000000000001</v>
      </c>
      <c r="AI36">
        <v>8.36</v>
      </c>
      <c r="AK36">
        <v>12.775</v>
      </c>
      <c r="AL36">
        <v>5.2</v>
      </c>
      <c r="AM36">
        <v>10486.5</v>
      </c>
      <c r="AN36">
        <v>19723</v>
      </c>
      <c r="AO36">
        <v>101.22</v>
      </c>
      <c r="AP36">
        <v>8.36</v>
      </c>
      <c r="AR36">
        <v>12.775</v>
      </c>
      <c r="AS36">
        <v>5.2</v>
      </c>
      <c r="AT36">
        <v>10484.9</v>
      </c>
      <c r="AU36">
        <v>19721</v>
      </c>
      <c r="AV36">
        <v>72.42</v>
      </c>
      <c r="AW36">
        <v>8.36</v>
      </c>
      <c r="AY36">
        <v>12.775</v>
      </c>
      <c r="AZ36">
        <v>5.2</v>
      </c>
      <c r="BA36">
        <v>10315.299999999999</v>
      </c>
      <c r="BB36">
        <v>20455</v>
      </c>
      <c r="BC36">
        <v>43.28</v>
      </c>
      <c r="BD36">
        <v>8.68</v>
      </c>
      <c r="BF36" s="52">
        <v>10.1</v>
      </c>
      <c r="BG36">
        <v>68744</v>
      </c>
      <c r="BH36">
        <v>67621</v>
      </c>
      <c r="BI36">
        <v>66498</v>
      </c>
      <c r="BJ36">
        <v>65375</v>
      </c>
      <c r="BK36">
        <v>64252</v>
      </c>
      <c r="BL36">
        <v>63129</v>
      </c>
      <c r="BM36">
        <v>62005</v>
      </c>
      <c r="BN36">
        <v>60882</v>
      </c>
      <c r="BO36">
        <v>59759</v>
      </c>
      <c r="BP36">
        <v>58636</v>
      </c>
      <c r="BQ36">
        <v>57512</v>
      </c>
      <c r="BR36">
        <v>56389</v>
      </c>
      <c r="BS36">
        <v>55266</v>
      </c>
      <c r="BT36">
        <v>54143</v>
      </c>
      <c r="BU36">
        <v>53020</v>
      </c>
      <c r="BV36">
        <v>51897</v>
      </c>
      <c r="BW36">
        <v>50774</v>
      </c>
      <c r="BX36">
        <v>49652</v>
      </c>
      <c r="BY36">
        <v>48529</v>
      </c>
      <c r="BZ36">
        <v>47406</v>
      </c>
      <c r="CA36">
        <v>46282</v>
      </c>
      <c r="CB36">
        <v>45159</v>
      </c>
      <c r="CC36">
        <v>44037</v>
      </c>
      <c r="CD36">
        <v>42914</v>
      </c>
      <c r="CE36">
        <v>41791</v>
      </c>
      <c r="CF36">
        <v>40668</v>
      </c>
      <c r="CG36">
        <v>39545</v>
      </c>
      <c r="CH36">
        <v>38422</v>
      </c>
      <c r="CI36">
        <v>37300</v>
      </c>
      <c r="CJ36">
        <v>36177</v>
      </c>
      <c r="CL36" s="52">
        <v>10.1</v>
      </c>
      <c r="CM36">
        <v>1.2150000000000001</v>
      </c>
      <c r="CN36">
        <v>2.4430000000000001</v>
      </c>
      <c r="CO36">
        <v>2.9369999999999998</v>
      </c>
      <c r="CP36">
        <v>4.9470000000000001</v>
      </c>
      <c r="CQ36">
        <v>7.4710000000000001</v>
      </c>
      <c r="CR36">
        <v>9.3390000000000004</v>
      </c>
      <c r="CS36">
        <v>10.585000000000001</v>
      </c>
      <c r="CT36">
        <v>11.188000000000001</v>
      </c>
      <c r="CU36">
        <v>11.156000000000001</v>
      </c>
      <c r="CW36" s="52">
        <v>10.1</v>
      </c>
      <c r="CX36">
        <v>1.222</v>
      </c>
      <c r="CY36">
        <v>2.456</v>
      </c>
      <c r="CZ36">
        <v>2.9529999999999998</v>
      </c>
      <c r="DA36">
        <v>4.9729999999999999</v>
      </c>
      <c r="DB36">
        <v>7.5060000000000002</v>
      </c>
      <c r="DC36">
        <v>9.3640000000000008</v>
      </c>
      <c r="DD36">
        <v>10.603</v>
      </c>
      <c r="DE36">
        <v>11.199</v>
      </c>
      <c r="DF36">
        <v>11.161</v>
      </c>
    </row>
    <row r="37" spans="2:110" ht="15" x14ac:dyDescent="0.35">
      <c r="B37" s="52" t="s">
        <v>40</v>
      </c>
      <c r="C37" s="1">
        <v>998.1</v>
      </c>
      <c r="D37" s="1">
        <v>978.2</v>
      </c>
      <c r="E37" s="1">
        <v>73.13</v>
      </c>
      <c r="F37" s="1">
        <v>14.85</v>
      </c>
      <c r="G37" s="1">
        <v>8.98</v>
      </c>
      <c r="H37" s="1">
        <v>89</v>
      </c>
      <c r="J37">
        <v>4</v>
      </c>
      <c r="K37">
        <v>18550</v>
      </c>
      <c r="L37">
        <v>7506</v>
      </c>
      <c r="M37">
        <v>100.99</v>
      </c>
      <c r="N37">
        <v>2.0699999999999998</v>
      </c>
      <c r="O37">
        <v>100.14</v>
      </c>
      <c r="P37">
        <v>22.75</v>
      </c>
      <c r="Q37">
        <v>540.70000000000005</v>
      </c>
      <c r="R37">
        <v>49.8</v>
      </c>
      <c r="S37">
        <v>0.76100000000000001</v>
      </c>
      <c r="T37">
        <v>4861</v>
      </c>
      <c r="U37">
        <v>5799</v>
      </c>
      <c r="W37" s="39">
        <v>12.375</v>
      </c>
      <c r="X37">
        <v>5.4</v>
      </c>
      <c r="Y37">
        <v>9599</v>
      </c>
      <c r="Z37">
        <v>17342</v>
      </c>
      <c r="AA37">
        <v>158.71</v>
      </c>
      <c r="AB37">
        <v>8.2100000000000009</v>
      </c>
      <c r="AD37">
        <v>12.574999999999999</v>
      </c>
      <c r="AE37">
        <v>5.4</v>
      </c>
      <c r="AF37">
        <v>10333.700000000001</v>
      </c>
      <c r="AG37">
        <v>20346</v>
      </c>
      <c r="AH37">
        <v>130.02000000000001</v>
      </c>
      <c r="AI37">
        <v>8.27</v>
      </c>
      <c r="AK37">
        <v>12.574999999999999</v>
      </c>
      <c r="AL37">
        <v>5.4</v>
      </c>
      <c r="AM37">
        <v>10335.299999999999</v>
      </c>
      <c r="AN37">
        <v>20348</v>
      </c>
      <c r="AO37">
        <v>101.22</v>
      </c>
      <c r="AP37">
        <v>8.27</v>
      </c>
      <c r="AR37">
        <v>12.574999999999999</v>
      </c>
      <c r="AS37">
        <v>5.4</v>
      </c>
      <c r="AT37">
        <v>10333.799999999999</v>
      </c>
      <c r="AU37">
        <v>20346</v>
      </c>
      <c r="AV37">
        <v>72.42</v>
      </c>
      <c r="AW37">
        <v>8.27</v>
      </c>
      <c r="AY37">
        <v>12.574999999999999</v>
      </c>
      <c r="AZ37">
        <v>5.4</v>
      </c>
      <c r="BA37">
        <v>10154.299999999999</v>
      </c>
      <c r="BB37">
        <v>21133</v>
      </c>
      <c r="BC37">
        <v>43.29</v>
      </c>
      <c r="BD37">
        <v>8.59</v>
      </c>
      <c r="BF37" s="52">
        <v>10.199999999999999</v>
      </c>
      <c r="BG37">
        <v>69168</v>
      </c>
      <c r="BH37">
        <v>68033</v>
      </c>
      <c r="BI37">
        <v>66898</v>
      </c>
      <c r="BJ37">
        <v>65762</v>
      </c>
      <c r="BK37">
        <v>64627</v>
      </c>
      <c r="BL37">
        <v>63491</v>
      </c>
      <c r="BM37">
        <v>62356</v>
      </c>
      <c r="BN37">
        <v>61220</v>
      </c>
      <c r="BO37">
        <v>60085</v>
      </c>
      <c r="BP37">
        <v>58949</v>
      </c>
      <c r="BQ37">
        <v>57813</v>
      </c>
      <c r="BR37">
        <v>56678</v>
      </c>
      <c r="BS37">
        <v>55542</v>
      </c>
      <c r="BT37">
        <v>54407</v>
      </c>
      <c r="BU37">
        <v>53272</v>
      </c>
      <c r="BV37">
        <v>52136</v>
      </c>
      <c r="BW37">
        <v>51001</v>
      </c>
      <c r="BX37">
        <v>49866</v>
      </c>
      <c r="BY37">
        <v>48731</v>
      </c>
      <c r="BZ37">
        <v>47595</v>
      </c>
      <c r="CA37">
        <v>46459</v>
      </c>
      <c r="CB37">
        <v>45324</v>
      </c>
      <c r="CC37">
        <v>44189</v>
      </c>
      <c r="CD37">
        <v>43054</v>
      </c>
      <c r="CE37">
        <v>41919</v>
      </c>
      <c r="CF37">
        <v>40783</v>
      </c>
      <c r="CG37">
        <v>39648</v>
      </c>
      <c r="CH37">
        <v>38513</v>
      </c>
      <c r="CI37">
        <v>37378</v>
      </c>
      <c r="CJ37">
        <v>36243</v>
      </c>
      <c r="CL37" s="52">
        <v>10.199999999999999</v>
      </c>
      <c r="CM37">
        <v>1.2130000000000001</v>
      </c>
      <c r="CN37">
        <v>2.4380000000000002</v>
      </c>
      <c r="CO37">
        <v>2.931</v>
      </c>
      <c r="CP37">
        <v>4.9370000000000003</v>
      </c>
      <c r="CQ37">
        <v>7.4420000000000002</v>
      </c>
      <c r="CR37">
        <v>9.3089999999999993</v>
      </c>
      <c r="CS37">
        <v>10.56</v>
      </c>
      <c r="CT37">
        <v>11.166</v>
      </c>
      <c r="CU37">
        <v>11.144</v>
      </c>
      <c r="CW37" s="52">
        <v>10.199999999999999</v>
      </c>
      <c r="CX37">
        <v>1.22</v>
      </c>
      <c r="CY37">
        <v>2.4510000000000001</v>
      </c>
      <c r="CZ37">
        <v>2.9470000000000001</v>
      </c>
      <c r="DA37">
        <v>4.9619999999999997</v>
      </c>
      <c r="DB37">
        <v>7.476</v>
      </c>
      <c r="DC37">
        <v>9.3330000000000002</v>
      </c>
      <c r="DD37">
        <v>10.577999999999999</v>
      </c>
      <c r="DE37">
        <v>11.177</v>
      </c>
      <c r="DF37">
        <v>11.148</v>
      </c>
    </row>
    <row r="38" spans="2:110" ht="15" x14ac:dyDescent="0.35">
      <c r="B38" s="52" t="s">
        <v>41</v>
      </c>
      <c r="C38" s="1">
        <v>435.1</v>
      </c>
      <c r="D38" s="1">
        <v>426.4</v>
      </c>
      <c r="E38" s="1">
        <v>49.43</v>
      </c>
      <c r="F38" s="1">
        <v>-6.38</v>
      </c>
      <c r="G38" s="1">
        <v>1.38</v>
      </c>
      <c r="H38" s="1">
        <v>1485</v>
      </c>
      <c r="J38">
        <v>4.0999999999999996</v>
      </c>
      <c r="K38">
        <v>19048</v>
      </c>
      <c r="L38">
        <v>8004</v>
      </c>
      <c r="M38">
        <v>100.97</v>
      </c>
      <c r="N38">
        <v>2.12</v>
      </c>
      <c r="O38">
        <v>100.09</v>
      </c>
      <c r="P38">
        <v>22.33</v>
      </c>
      <c r="Q38">
        <v>543.20000000000005</v>
      </c>
      <c r="R38">
        <v>50</v>
      </c>
      <c r="S38">
        <v>0.76400000000000001</v>
      </c>
      <c r="T38">
        <v>4880</v>
      </c>
      <c r="U38">
        <v>5882</v>
      </c>
      <c r="W38" s="39">
        <v>12.175000000000001</v>
      </c>
      <c r="X38">
        <v>5.6</v>
      </c>
      <c r="Y38">
        <v>9446.7999999999993</v>
      </c>
      <c r="Z38">
        <v>17840</v>
      </c>
      <c r="AA38">
        <v>158.69999999999999</v>
      </c>
      <c r="AB38">
        <v>8.1199999999999992</v>
      </c>
      <c r="AD38">
        <v>12.375</v>
      </c>
      <c r="AE38">
        <v>5.6</v>
      </c>
      <c r="AF38">
        <v>10178.6</v>
      </c>
      <c r="AG38">
        <v>20942</v>
      </c>
      <c r="AH38">
        <v>130.02000000000001</v>
      </c>
      <c r="AI38">
        <v>8.17</v>
      </c>
      <c r="AK38">
        <v>12.375</v>
      </c>
      <c r="AL38">
        <v>5.6</v>
      </c>
      <c r="AM38">
        <v>10180.200000000001</v>
      </c>
      <c r="AN38">
        <v>20944</v>
      </c>
      <c r="AO38">
        <v>101.22</v>
      </c>
      <c r="AP38">
        <v>8.17</v>
      </c>
      <c r="AR38">
        <v>12.375</v>
      </c>
      <c r="AS38">
        <v>5.6</v>
      </c>
      <c r="AT38">
        <v>10178.6</v>
      </c>
      <c r="AU38">
        <v>20942</v>
      </c>
      <c r="AV38">
        <v>72.42</v>
      </c>
      <c r="AW38">
        <v>8.17</v>
      </c>
      <c r="AY38">
        <v>12.375</v>
      </c>
      <c r="AZ38">
        <v>5.6</v>
      </c>
      <c r="BA38">
        <v>9989</v>
      </c>
      <c r="BB38">
        <v>21771</v>
      </c>
      <c r="BC38">
        <v>43.3</v>
      </c>
      <c r="BD38">
        <v>8.5</v>
      </c>
      <c r="BF38" s="52">
        <v>10.3</v>
      </c>
      <c r="BG38">
        <v>69607</v>
      </c>
      <c r="BH38">
        <v>68459</v>
      </c>
      <c r="BI38">
        <v>67311</v>
      </c>
      <c r="BJ38">
        <v>66163</v>
      </c>
      <c r="BK38">
        <v>65015</v>
      </c>
      <c r="BL38">
        <v>63868</v>
      </c>
      <c r="BM38">
        <v>62720</v>
      </c>
      <c r="BN38">
        <v>61572</v>
      </c>
      <c r="BO38">
        <v>60424</v>
      </c>
      <c r="BP38">
        <v>59276</v>
      </c>
      <c r="BQ38">
        <v>58128</v>
      </c>
      <c r="BR38">
        <v>56980</v>
      </c>
      <c r="BS38">
        <v>55832</v>
      </c>
      <c r="BT38">
        <v>54685</v>
      </c>
      <c r="BU38">
        <v>53537</v>
      </c>
      <c r="BV38">
        <v>52389</v>
      </c>
      <c r="BW38">
        <v>51241</v>
      </c>
      <c r="BX38">
        <v>50094</v>
      </c>
      <c r="BY38">
        <v>48946</v>
      </c>
      <c r="BZ38">
        <v>47799</v>
      </c>
      <c r="CA38">
        <v>46650</v>
      </c>
      <c r="CB38">
        <v>45503</v>
      </c>
      <c r="CC38">
        <v>44355</v>
      </c>
      <c r="CD38">
        <v>43208</v>
      </c>
      <c r="CE38">
        <v>42060</v>
      </c>
      <c r="CF38">
        <v>40912</v>
      </c>
      <c r="CG38">
        <v>39765</v>
      </c>
      <c r="CH38">
        <v>38617</v>
      </c>
      <c r="CI38">
        <v>37470</v>
      </c>
      <c r="CJ38">
        <v>36323</v>
      </c>
      <c r="CL38" s="52">
        <v>10.3</v>
      </c>
      <c r="CM38">
        <v>1.2110000000000001</v>
      </c>
      <c r="CN38">
        <v>2.4329999999999998</v>
      </c>
      <c r="CO38">
        <v>2.9249999999999998</v>
      </c>
      <c r="CP38">
        <v>4.9279999999999999</v>
      </c>
      <c r="CQ38">
        <v>7.4119999999999999</v>
      </c>
      <c r="CR38">
        <v>9.2799999999999994</v>
      </c>
      <c r="CS38">
        <v>10.535</v>
      </c>
      <c r="CT38">
        <v>11.143000000000001</v>
      </c>
      <c r="CU38">
        <v>11.131</v>
      </c>
      <c r="CW38" s="52">
        <v>10.3</v>
      </c>
      <c r="CX38">
        <v>1.2170000000000001</v>
      </c>
      <c r="CY38">
        <v>2.4460000000000002</v>
      </c>
      <c r="CZ38">
        <v>2.9409999999999998</v>
      </c>
      <c r="DA38">
        <v>4.952</v>
      </c>
      <c r="DB38">
        <v>7.4450000000000003</v>
      </c>
      <c r="DC38">
        <v>9.3019999999999996</v>
      </c>
      <c r="DD38">
        <v>10.553000000000001</v>
      </c>
      <c r="DE38">
        <v>11.154</v>
      </c>
      <c r="DF38">
        <v>11.135999999999999</v>
      </c>
    </row>
    <row r="39" spans="2:110" ht="15" x14ac:dyDescent="0.35">
      <c r="B39" s="52" t="s">
        <v>42</v>
      </c>
      <c r="C39" s="1">
        <v>435.1</v>
      </c>
      <c r="D39" s="1">
        <v>426.4</v>
      </c>
      <c r="E39" s="1">
        <v>49.43</v>
      </c>
      <c r="F39" s="1">
        <v>6.38</v>
      </c>
      <c r="G39" s="1">
        <v>1.38</v>
      </c>
      <c r="H39" s="1">
        <v>1485</v>
      </c>
      <c r="J39">
        <v>4.2</v>
      </c>
      <c r="K39">
        <v>19548</v>
      </c>
      <c r="L39">
        <v>8504</v>
      </c>
      <c r="M39">
        <v>100.95</v>
      </c>
      <c r="N39">
        <v>2.17</v>
      </c>
      <c r="O39">
        <v>100.05</v>
      </c>
      <c r="P39">
        <v>21.93</v>
      </c>
      <c r="Q39">
        <v>545.79999999999995</v>
      </c>
      <c r="R39">
        <v>50.1</v>
      </c>
      <c r="S39">
        <v>0.76600000000000001</v>
      </c>
      <c r="T39">
        <v>4890</v>
      </c>
      <c r="U39">
        <v>5923</v>
      </c>
      <c r="W39" s="39">
        <v>11.975</v>
      </c>
      <c r="X39">
        <v>5.8</v>
      </c>
      <c r="Y39">
        <v>9291.5</v>
      </c>
      <c r="Z39">
        <v>18322</v>
      </c>
      <c r="AA39">
        <v>158.69999999999999</v>
      </c>
      <c r="AB39">
        <v>8.02</v>
      </c>
      <c r="AD39">
        <v>12.175000000000001</v>
      </c>
      <c r="AE39">
        <v>5.8</v>
      </c>
      <c r="AF39">
        <v>10019.5</v>
      </c>
      <c r="AG39">
        <v>21505</v>
      </c>
      <c r="AH39">
        <v>130.02000000000001</v>
      </c>
      <c r="AI39">
        <v>8.08</v>
      </c>
      <c r="AK39">
        <v>12.175000000000001</v>
      </c>
      <c r="AL39">
        <v>5.8</v>
      </c>
      <c r="AM39">
        <v>10021</v>
      </c>
      <c r="AN39">
        <v>21508</v>
      </c>
      <c r="AO39">
        <v>101.22</v>
      </c>
      <c r="AP39">
        <v>8.08</v>
      </c>
      <c r="AR39">
        <v>12.175000000000001</v>
      </c>
      <c r="AS39">
        <v>5.8</v>
      </c>
      <c r="AT39">
        <v>10019.5</v>
      </c>
      <c r="AU39">
        <v>21505</v>
      </c>
      <c r="AV39">
        <v>72.42</v>
      </c>
      <c r="AW39">
        <v>8.08</v>
      </c>
      <c r="AY39">
        <v>12.175000000000001</v>
      </c>
      <c r="AZ39">
        <v>5.8</v>
      </c>
      <c r="BA39">
        <v>9819.4</v>
      </c>
      <c r="BB39">
        <v>22367</v>
      </c>
      <c r="BC39">
        <v>43.31</v>
      </c>
      <c r="BD39">
        <v>8.4</v>
      </c>
      <c r="BF39" s="52">
        <v>10.4</v>
      </c>
      <c r="BG39">
        <v>70061</v>
      </c>
      <c r="BH39">
        <v>68900</v>
      </c>
      <c r="BI39">
        <v>67740</v>
      </c>
      <c r="BJ39">
        <v>66580</v>
      </c>
      <c r="BK39">
        <v>65419</v>
      </c>
      <c r="BL39">
        <v>64259</v>
      </c>
      <c r="BM39">
        <v>63099</v>
      </c>
      <c r="BN39">
        <v>61938</v>
      </c>
      <c r="BO39">
        <v>60778</v>
      </c>
      <c r="BP39">
        <v>59618</v>
      </c>
      <c r="BQ39">
        <v>58457</v>
      </c>
      <c r="BR39">
        <v>57297</v>
      </c>
      <c r="BS39">
        <v>56137</v>
      </c>
      <c r="BT39">
        <v>54977</v>
      </c>
      <c r="BU39">
        <v>53817</v>
      </c>
      <c r="BV39">
        <v>52656</v>
      </c>
      <c r="BW39">
        <v>51496</v>
      </c>
      <c r="BX39">
        <v>50336</v>
      </c>
      <c r="BY39">
        <v>49176</v>
      </c>
      <c r="BZ39">
        <v>48016</v>
      </c>
      <c r="CA39">
        <v>46856</v>
      </c>
      <c r="CB39">
        <v>45696</v>
      </c>
      <c r="CC39">
        <v>44536</v>
      </c>
      <c r="CD39">
        <v>43376</v>
      </c>
      <c r="CE39">
        <v>42216</v>
      </c>
      <c r="CF39">
        <v>41056</v>
      </c>
      <c r="CG39">
        <v>39896</v>
      </c>
      <c r="CH39">
        <v>38736</v>
      </c>
      <c r="CI39">
        <v>37576</v>
      </c>
      <c r="CJ39">
        <v>36416</v>
      </c>
      <c r="CL39" s="52">
        <v>10.4</v>
      </c>
      <c r="CM39">
        <v>1.2090000000000001</v>
      </c>
      <c r="CN39">
        <v>2.4289999999999998</v>
      </c>
      <c r="CO39">
        <v>2.92</v>
      </c>
      <c r="CP39">
        <v>4.9189999999999996</v>
      </c>
      <c r="CQ39">
        <v>7.383</v>
      </c>
      <c r="CR39">
        <v>9.25</v>
      </c>
      <c r="CS39">
        <v>10.509</v>
      </c>
      <c r="CT39">
        <v>11.12</v>
      </c>
      <c r="CU39">
        <v>11.118</v>
      </c>
      <c r="CW39" s="52">
        <v>10.4</v>
      </c>
      <c r="CX39">
        <v>1.2150000000000001</v>
      </c>
      <c r="CY39">
        <v>2.4420000000000002</v>
      </c>
      <c r="CZ39">
        <v>2.9359999999999999</v>
      </c>
      <c r="DA39">
        <v>4.9429999999999996</v>
      </c>
      <c r="DB39">
        <v>7.4139999999999997</v>
      </c>
      <c r="DC39">
        <v>9.2720000000000002</v>
      </c>
      <c r="DD39">
        <v>10.526999999999999</v>
      </c>
      <c r="DE39">
        <v>11.131</v>
      </c>
      <c r="DF39">
        <v>11.122999999999999</v>
      </c>
    </row>
    <row r="40" spans="2:110" ht="15" x14ac:dyDescent="0.35">
      <c r="B40" s="52" t="s">
        <v>43</v>
      </c>
      <c r="C40" s="1">
        <v>844.2</v>
      </c>
      <c r="D40" s="1">
        <v>827.3</v>
      </c>
      <c r="E40" s="1">
        <v>41</v>
      </c>
      <c r="F40" s="1">
        <v>-12.97</v>
      </c>
      <c r="G40" s="1">
        <v>5.76</v>
      </c>
      <c r="H40" s="1">
        <v>877</v>
      </c>
      <c r="J40">
        <v>4.3</v>
      </c>
      <c r="K40">
        <v>20049</v>
      </c>
      <c r="L40">
        <v>9005</v>
      </c>
      <c r="M40">
        <v>100.92</v>
      </c>
      <c r="N40">
        <v>2.2200000000000002</v>
      </c>
      <c r="O40">
        <v>100</v>
      </c>
      <c r="P40">
        <v>21.55</v>
      </c>
      <c r="Q40">
        <v>548.4</v>
      </c>
      <c r="R40">
        <v>50.1</v>
      </c>
      <c r="S40">
        <v>0.76600000000000001</v>
      </c>
      <c r="T40">
        <v>4899</v>
      </c>
      <c r="U40">
        <v>5965</v>
      </c>
      <c r="W40" s="39">
        <v>11.775</v>
      </c>
      <c r="X40">
        <v>6</v>
      </c>
      <c r="Y40">
        <v>9132.7000000000007</v>
      </c>
      <c r="Z40">
        <v>18790</v>
      </c>
      <c r="AA40">
        <v>158.69999999999999</v>
      </c>
      <c r="AB40">
        <v>7.92</v>
      </c>
      <c r="AD40">
        <v>11.975</v>
      </c>
      <c r="AE40">
        <v>6</v>
      </c>
      <c r="AF40">
        <v>9856.4</v>
      </c>
      <c r="AG40">
        <v>22048</v>
      </c>
      <c r="AH40">
        <v>130.02000000000001</v>
      </c>
      <c r="AI40">
        <v>7.98</v>
      </c>
      <c r="AK40">
        <v>11.975</v>
      </c>
      <c r="AL40">
        <v>6</v>
      </c>
      <c r="AM40">
        <v>9857.9</v>
      </c>
      <c r="AN40">
        <v>22051</v>
      </c>
      <c r="AO40">
        <v>101.22</v>
      </c>
      <c r="AP40">
        <v>7.98</v>
      </c>
      <c r="AR40">
        <v>11.975</v>
      </c>
      <c r="AS40">
        <v>6</v>
      </c>
      <c r="AT40">
        <v>9856.4</v>
      </c>
      <c r="AU40">
        <v>22048</v>
      </c>
      <c r="AV40">
        <v>72.42</v>
      </c>
      <c r="AW40">
        <v>7.98</v>
      </c>
      <c r="AY40">
        <v>11.975</v>
      </c>
      <c r="AZ40">
        <v>6</v>
      </c>
      <c r="BA40">
        <v>9645.5</v>
      </c>
      <c r="BB40">
        <v>22933</v>
      </c>
      <c r="BC40">
        <v>43.32</v>
      </c>
      <c r="BD40">
        <v>8.3000000000000007</v>
      </c>
      <c r="BF40" s="52">
        <v>10.5</v>
      </c>
      <c r="BG40">
        <v>70530</v>
      </c>
      <c r="BH40">
        <v>69357</v>
      </c>
      <c r="BI40">
        <v>68184</v>
      </c>
      <c r="BJ40">
        <v>67012</v>
      </c>
      <c r="BK40">
        <v>65839</v>
      </c>
      <c r="BL40">
        <v>64666</v>
      </c>
      <c r="BM40">
        <v>63494</v>
      </c>
      <c r="BN40">
        <v>62321</v>
      </c>
      <c r="BO40">
        <v>61148</v>
      </c>
      <c r="BP40">
        <v>59976</v>
      </c>
      <c r="BQ40">
        <v>58802</v>
      </c>
      <c r="BR40">
        <v>57630</v>
      </c>
      <c r="BS40">
        <v>56457</v>
      </c>
      <c r="BT40">
        <v>55284</v>
      </c>
      <c r="BU40">
        <v>54112</v>
      </c>
      <c r="BV40">
        <v>52939</v>
      </c>
      <c r="BW40">
        <v>51767</v>
      </c>
      <c r="BX40">
        <v>50594</v>
      </c>
      <c r="BY40">
        <v>49422</v>
      </c>
      <c r="BZ40">
        <v>48249</v>
      </c>
      <c r="CA40">
        <v>47076</v>
      </c>
      <c r="CB40">
        <v>45904</v>
      </c>
      <c r="CC40">
        <v>44731</v>
      </c>
      <c r="CD40">
        <v>43559</v>
      </c>
      <c r="CE40">
        <v>42386</v>
      </c>
      <c r="CF40">
        <v>41214</v>
      </c>
      <c r="CG40">
        <v>40042</v>
      </c>
      <c r="CH40">
        <v>38869</v>
      </c>
      <c r="CI40">
        <v>37697</v>
      </c>
      <c r="CJ40">
        <v>36525</v>
      </c>
      <c r="CL40" s="52">
        <v>10.5</v>
      </c>
      <c r="CM40">
        <v>1.2070000000000001</v>
      </c>
      <c r="CN40">
        <v>2.4249999999999998</v>
      </c>
      <c r="CO40">
        <v>2.915</v>
      </c>
      <c r="CP40">
        <v>4.91</v>
      </c>
      <c r="CQ40">
        <v>7.3529999999999998</v>
      </c>
      <c r="CR40">
        <v>9.2210000000000001</v>
      </c>
      <c r="CS40">
        <v>10.483000000000001</v>
      </c>
      <c r="CT40">
        <v>11.097</v>
      </c>
      <c r="CU40">
        <v>11.105</v>
      </c>
      <c r="CW40" s="52">
        <v>10.5</v>
      </c>
      <c r="CX40">
        <v>1.2130000000000001</v>
      </c>
      <c r="CY40">
        <v>2.4380000000000002</v>
      </c>
      <c r="CZ40">
        <v>2.931</v>
      </c>
      <c r="DA40">
        <v>4.9329999999999998</v>
      </c>
      <c r="DB40">
        <v>7.383</v>
      </c>
      <c r="DC40">
        <v>9.2409999999999997</v>
      </c>
      <c r="DD40">
        <v>10.5</v>
      </c>
      <c r="DE40">
        <v>11.108000000000001</v>
      </c>
      <c r="DF40">
        <v>11.11</v>
      </c>
    </row>
    <row r="41" spans="2:110" ht="15" x14ac:dyDescent="0.35">
      <c r="B41" s="52" t="s">
        <v>44</v>
      </c>
      <c r="C41" s="1">
        <v>844.2</v>
      </c>
      <c r="D41" s="1">
        <v>827.3</v>
      </c>
      <c r="E41" s="1">
        <v>41</v>
      </c>
      <c r="F41" s="1">
        <v>12.97</v>
      </c>
      <c r="G41" s="1">
        <v>5.76</v>
      </c>
      <c r="H41" s="1">
        <v>877</v>
      </c>
      <c r="J41">
        <v>4.4000000000000004</v>
      </c>
      <c r="K41">
        <v>20551</v>
      </c>
      <c r="L41">
        <v>9506</v>
      </c>
      <c r="M41">
        <v>100.9</v>
      </c>
      <c r="N41">
        <v>2.27</v>
      </c>
      <c r="O41">
        <v>99.95</v>
      </c>
      <c r="P41">
        <v>21.19</v>
      </c>
      <c r="Q41">
        <v>551</v>
      </c>
      <c r="R41">
        <v>50.2</v>
      </c>
      <c r="S41">
        <v>0.76700000000000002</v>
      </c>
      <c r="T41">
        <v>4899</v>
      </c>
      <c r="U41">
        <v>5965</v>
      </c>
      <c r="W41" s="39">
        <v>11.574999999999999</v>
      </c>
      <c r="X41">
        <v>6.2</v>
      </c>
      <c r="Y41">
        <v>8970.9</v>
      </c>
      <c r="Z41">
        <v>19240</v>
      </c>
      <c r="AA41">
        <v>158.69999999999999</v>
      </c>
      <c r="AB41">
        <v>7.82</v>
      </c>
      <c r="AD41">
        <v>11.775</v>
      </c>
      <c r="AE41">
        <v>6.2</v>
      </c>
      <c r="AF41">
        <v>9689.2999999999993</v>
      </c>
      <c r="AG41">
        <v>22586</v>
      </c>
      <c r="AH41">
        <v>130.02000000000001</v>
      </c>
      <c r="AI41">
        <v>7.88</v>
      </c>
      <c r="AK41">
        <v>11.775</v>
      </c>
      <c r="AL41">
        <v>6.2</v>
      </c>
      <c r="AM41">
        <v>9690.7999999999993</v>
      </c>
      <c r="AN41">
        <v>22589</v>
      </c>
      <c r="AO41">
        <v>101.22</v>
      </c>
      <c r="AP41">
        <v>7.89</v>
      </c>
      <c r="AR41">
        <v>11.775</v>
      </c>
      <c r="AS41">
        <v>6.2</v>
      </c>
      <c r="AT41">
        <v>9689.4</v>
      </c>
      <c r="AU41">
        <v>22586</v>
      </c>
      <c r="AV41">
        <v>72.42</v>
      </c>
      <c r="AW41">
        <v>7.88</v>
      </c>
      <c r="AY41">
        <v>11.775</v>
      </c>
      <c r="AZ41">
        <v>6.2</v>
      </c>
      <c r="BA41">
        <v>9467.4</v>
      </c>
      <c r="BB41">
        <v>23482</v>
      </c>
      <c r="BC41">
        <v>43.33</v>
      </c>
      <c r="BD41">
        <v>8.1999999999999993</v>
      </c>
      <c r="BF41" s="52">
        <v>10.6</v>
      </c>
      <c r="BG41">
        <v>71016</v>
      </c>
      <c r="BH41">
        <v>69831</v>
      </c>
      <c r="BI41">
        <v>68646</v>
      </c>
      <c r="BJ41">
        <v>67461</v>
      </c>
      <c r="BK41">
        <v>66276</v>
      </c>
      <c r="BL41">
        <v>65090</v>
      </c>
      <c r="BM41">
        <v>63905</v>
      </c>
      <c r="BN41">
        <v>62720</v>
      </c>
      <c r="BO41">
        <v>61535</v>
      </c>
      <c r="BP41">
        <v>60350</v>
      </c>
      <c r="BQ41">
        <v>59164</v>
      </c>
      <c r="BR41">
        <v>57979</v>
      </c>
      <c r="BS41">
        <v>56794</v>
      </c>
      <c r="BT41">
        <v>55609</v>
      </c>
      <c r="BU41">
        <v>54424</v>
      </c>
      <c r="BV41">
        <v>53239</v>
      </c>
      <c r="BW41">
        <v>52054</v>
      </c>
      <c r="BX41">
        <v>50869</v>
      </c>
      <c r="BY41">
        <v>49684</v>
      </c>
      <c r="BZ41">
        <v>48499</v>
      </c>
      <c r="CA41">
        <v>47313</v>
      </c>
      <c r="CB41">
        <v>46128</v>
      </c>
      <c r="CC41">
        <v>44943</v>
      </c>
      <c r="CD41">
        <v>43759</v>
      </c>
      <c r="CE41">
        <v>42574</v>
      </c>
      <c r="CF41">
        <v>41389</v>
      </c>
      <c r="CG41">
        <v>40204</v>
      </c>
      <c r="CH41">
        <v>39019</v>
      </c>
      <c r="CI41">
        <v>37834</v>
      </c>
      <c r="CJ41">
        <v>36649</v>
      </c>
      <c r="CL41" s="52">
        <v>10.6</v>
      </c>
      <c r="CM41">
        <v>1.2050000000000001</v>
      </c>
      <c r="CN41">
        <v>2.4209999999999998</v>
      </c>
      <c r="CO41">
        <v>2.911</v>
      </c>
      <c r="CP41">
        <v>4.9020000000000001</v>
      </c>
      <c r="CQ41">
        <v>7.3230000000000004</v>
      </c>
      <c r="CR41">
        <v>9.1920000000000002</v>
      </c>
      <c r="CS41">
        <v>10.457000000000001</v>
      </c>
      <c r="CT41">
        <v>11.074</v>
      </c>
      <c r="CU41">
        <v>11.092000000000001</v>
      </c>
      <c r="CW41" s="52">
        <v>10.6</v>
      </c>
      <c r="CX41">
        <v>1.2110000000000001</v>
      </c>
      <c r="CY41">
        <v>2.4340000000000002</v>
      </c>
      <c r="CZ41">
        <v>2.9260000000000002</v>
      </c>
      <c r="DA41">
        <v>4.9249999999999998</v>
      </c>
      <c r="DB41">
        <v>7.3520000000000003</v>
      </c>
      <c r="DC41">
        <v>9.2110000000000003</v>
      </c>
      <c r="DD41">
        <v>10.474</v>
      </c>
      <c r="DE41">
        <v>11.085000000000001</v>
      </c>
      <c r="DF41">
        <v>11.097</v>
      </c>
    </row>
    <row r="42" spans="2:110" ht="15" x14ac:dyDescent="0.35">
      <c r="B42" s="52" t="s">
        <v>30</v>
      </c>
      <c r="C42" s="1">
        <v>376.6</v>
      </c>
      <c r="D42" s="1">
        <v>369.1</v>
      </c>
      <c r="E42" s="1">
        <v>42.71</v>
      </c>
      <c r="F42" s="1">
        <v>-14.54</v>
      </c>
      <c r="G42" s="1">
        <v>15.71</v>
      </c>
      <c r="H42" s="1">
        <v>96</v>
      </c>
      <c r="J42">
        <v>4.5</v>
      </c>
      <c r="K42">
        <v>21053</v>
      </c>
      <c r="L42">
        <v>10009</v>
      </c>
      <c r="M42">
        <v>100.88</v>
      </c>
      <c r="N42">
        <v>2.33</v>
      </c>
      <c r="O42">
        <v>99.89</v>
      </c>
      <c r="P42">
        <v>20.84</v>
      </c>
      <c r="Q42">
        <v>553.5</v>
      </c>
      <c r="R42">
        <v>50.3</v>
      </c>
      <c r="S42">
        <v>0.76800000000000002</v>
      </c>
      <c r="T42">
        <v>4908</v>
      </c>
      <c r="U42">
        <v>6006</v>
      </c>
      <c r="W42" s="39">
        <v>11.375</v>
      </c>
      <c r="X42">
        <v>6.4</v>
      </c>
      <c r="Y42">
        <v>8808.7000000000007</v>
      </c>
      <c r="Z42">
        <v>19667</v>
      </c>
      <c r="AA42">
        <v>158.69999999999999</v>
      </c>
      <c r="AB42">
        <v>7.72</v>
      </c>
      <c r="AD42">
        <v>11.574999999999999</v>
      </c>
      <c r="AE42">
        <v>6.4</v>
      </c>
      <c r="AF42">
        <v>9518.7999999999993</v>
      </c>
      <c r="AG42">
        <v>23118</v>
      </c>
      <c r="AH42">
        <v>130.02000000000001</v>
      </c>
      <c r="AI42">
        <v>7.78</v>
      </c>
      <c r="AK42">
        <v>11.574999999999999</v>
      </c>
      <c r="AL42">
        <v>6.4</v>
      </c>
      <c r="AM42">
        <v>9520.2000000000007</v>
      </c>
      <c r="AN42">
        <v>23122</v>
      </c>
      <c r="AO42">
        <v>101.22</v>
      </c>
      <c r="AP42">
        <v>7.78</v>
      </c>
      <c r="AR42">
        <v>11.574999999999999</v>
      </c>
      <c r="AS42">
        <v>6.4</v>
      </c>
      <c r="AT42">
        <v>9518.7999999999993</v>
      </c>
      <c r="AU42">
        <v>23118</v>
      </c>
      <c r="AV42">
        <v>72.42</v>
      </c>
      <c r="AW42">
        <v>7.78</v>
      </c>
      <c r="AY42">
        <v>11.574999999999999</v>
      </c>
      <c r="AZ42">
        <v>6.4</v>
      </c>
      <c r="BA42">
        <v>9285.5</v>
      </c>
      <c r="BB42">
        <v>24015</v>
      </c>
      <c r="BC42">
        <v>43.35</v>
      </c>
      <c r="BD42">
        <v>8.1</v>
      </c>
      <c r="BF42" s="52">
        <v>10.7</v>
      </c>
      <c r="BG42">
        <v>71520</v>
      </c>
      <c r="BH42">
        <v>70323</v>
      </c>
      <c r="BI42">
        <v>69125</v>
      </c>
      <c r="BJ42">
        <v>67927</v>
      </c>
      <c r="BK42">
        <v>66730</v>
      </c>
      <c r="BL42">
        <v>65532</v>
      </c>
      <c r="BM42">
        <v>64334</v>
      </c>
      <c r="BN42">
        <v>63136</v>
      </c>
      <c r="BO42">
        <v>61939</v>
      </c>
      <c r="BP42">
        <v>60741</v>
      </c>
      <c r="BQ42">
        <v>59543</v>
      </c>
      <c r="BR42">
        <v>58346</v>
      </c>
      <c r="BS42">
        <v>57148</v>
      </c>
      <c r="BT42">
        <v>55950</v>
      </c>
      <c r="BU42">
        <v>54753</v>
      </c>
      <c r="BV42">
        <v>53555</v>
      </c>
      <c r="BW42">
        <v>52357</v>
      </c>
      <c r="BX42">
        <v>51160</v>
      </c>
      <c r="BY42">
        <v>49963</v>
      </c>
      <c r="BZ42">
        <v>48765</v>
      </c>
      <c r="CA42">
        <v>47567</v>
      </c>
      <c r="CB42">
        <v>46370</v>
      </c>
      <c r="CC42">
        <v>45172</v>
      </c>
      <c r="CD42">
        <v>43975</v>
      </c>
      <c r="CE42">
        <v>42777</v>
      </c>
      <c r="CF42">
        <v>41580</v>
      </c>
      <c r="CG42">
        <v>40383</v>
      </c>
      <c r="CH42">
        <v>39185</v>
      </c>
      <c r="CI42">
        <v>37988</v>
      </c>
      <c r="CJ42">
        <v>36791</v>
      </c>
      <c r="CL42" s="52">
        <v>10.7</v>
      </c>
      <c r="CM42">
        <v>1.2030000000000001</v>
      </c>
      <c r="CN42">
        <v>2.4180000000000001</v>
      </c>
      <c r="CO42">
        <v>2.907</v>
      </c>
      <c r="CP42">
        <v>4.8940000000000001</v>
      </c>
      <c r="CQ42">
        <v>7.2930000000000001</v>
      </c>
      <c r="CR42">
        <v>9.1630000000000003</v>
      </c>
      <c r="CS42">
        <v>10.43</v>
      </c>
      <c r="CT42">
        <v>11.051</v>
      </c>
      <c r="CU42">
        <v>11.079000000000001</v>
      </c>
      <c r="CW42" s="52">
        <v>10.7</v>
      </c>
      <c r="CX42">
        <v>1.2090000000000001</v>
      </c>
      <c r="CY42">
        <v>2.4300000000000002</v>
      </c>
      <c r="CZ42">
        <v>2.9209999999999998</v>
      </c>
      <c r="DA42">
        <v>4.9169999999999998</v>
      </c>
      <c r="DB42">
        <v>7.3209999999999997</v>
      </c>
      <c r="DC42">
        <v>9.1809999999999992</v>
      </c>
      <c r="DD42">
        <v>10.446999999999999</v>
      </c>
      <c r="DE42">
        <v>11.061999999999999</v>
      </c>
      <c r="DF42">
        <v>11.084</v>
      </c>
    </row>
    <row r="43" spans="2:110" ht="15" x14ac:dyDescent="0.35">
      <c r="B43" s="52" t="s">
        <v>29</v>
      </c>
      <c r="C43" s="1">
        <v>376.6</v>
      </c>
      <c r="D43" s="1">
        <v>369.1</v>
      </c>
      <c r="E43" s="1">
        <v>42.71</v>
      </c>
      <c r="F43" s="1">
        <v>14.54</v>
      </c>
      <c r="G43" s="1">
        <v>15.71</v>
      </c>
      <c r="H43" s="1">
        <v>96</v>
      </c>
      <c r="J43">
        <v>4.5999999999999996</v>
      </c>
      <c r="K43">
        <v>21557</v>
      </c>
      <c r="L43">
        <v>10513</v>
      </c>
      <c r="M43">
        <v>100.85</v>
      </c>
      <c r="N43">
        <v>2.38</v>
      </c>
      <c r="O43">
        <v>99.83</v>
      </c>
      <c r="P43">
        <v>20.52</v>
      </c>
      <c r="Q43">
        <v>556</v>
      </c>
      <c r="R43">
        <v>50.4</v>
      </c>
      <c r="S43">
        <v>0.77</v>
      </c>
      <c r="T43">
        <v>4917</v>
      </c>
      <c r="U43">
        <v>6047</v>
      </c>
      <c r="W43" s="39">
        <v>11.175000000000001</v>
      </c>
      <c r="X43">
        <v>6.6</v>
      </c>
      <c r="Y43">
        <v>8646.5</v>
      </c>
      <c r="Z43">
        <v>20070</v>
      </c>
      <c r="AA43">
        <v>158.69999999999999</v>
      </c>
      <c r="AB43">
        <v>7.62</v>
      </c>
      <c r="AD43">
        <v>11.375</v>
      </c>
      <c r="AE43">
        <v>6.6</v>
      </c>
      <c r="AF43">
        <v>9347.7000000000007</v>
      </c>
      <c r="AG43">
        <v>23635</v>
      </c>
      <c r="AH43">
        <v>130.02000000000001</v>
      </c>
      <c r="AI43">
        <v>7.68</v>
      </c>
      <c r="AK43">
        <v>11.375</v>
      </c>
      <c r="AL43">
        <v>6.6</v>
      </c>
      <c r="AM43">
        <v>9349.1</v>
      </c>
      <c r="AN43">
        <v>23639</v>
      </c>
      <c r="AO43">
        <v>101.22</v>
      </c>
      <c r="AP43">
        <v>7.68</v>
      </c>
      <c r="AR43">
        <v>11.375</v>
      </c>
      <c r="AS43">
        <v>6.6</v>
      </c>
      <c r="AT43">
        <v>9347.7999999999993</v>
      </c>
      <c r="AU43">
        <v>23636</v>
      </c>
      <c r="AV43">
        <v>72.42</v>
      </c>
      <c r="AW43">
        <v>7.68</v>
      </c>
      <c r="AY43">
        <v>11.375</v>
      </c>
      <c r="AZ43">
        <v>6.6</v>
      </c>
      <c r="BA43">
        <v>9103.1</v>
      </c>
      <c r="BB43">
        <v>24519</v>
      </c>
      <c r="BC43">
        <v>43.36</v>
      </c>
      <c r="BD43">
        <v>7.99</v>
      </c>
      <c r="BF43" s="52">
        <v>10.8</v>
      </c>
      <c r="BG43">
        <v>72042</v>
      </c>
      <c r="BH43">
        <v>70831</v>
      </c>
      <c r="BI43">
        <v>69621</v>
      </c>
      <c r="BJ43">
        <v>68411</v>
      </c>
      <c r="BK43">
        <v>67201</v>
      </c>
      <c r="BL43">
        <v>65991</v>
      </c>
      <c r="BM43">
        <v>64780</v>
      </c>
      <c r="BN43">
        <v>63570</v>
      </c>
      <c r="BO43">
        <v>62360</v>
      </c>
      <c r="BP43">
        <v>61150</v>
      </c>
      <c r="BQ43">
        <v>59939</v>
      </c>
      <c r="BR43">
        <v>58729</v>
      </c>
      <c r="BS43">
        <v>57519</v>
      </c>
      <c r="BT43">
        <v>56309</v>
      </c>
      <c r="BU43">
        <v>55099</v>
      </c>
      <c r="BV43">
        <v>53889</v>
      </c>
      <c r="BW43">
        <v>52679</v>
      </c>
      <c r="BX43">
        <v>51469</v>
      </c>
      <c r="BY43">
        <v>50258</v>
      </c>
      <c r="BZ43">
        <v>49048</v>
      </c>
      <c r="CA43">
        <v>47838</v>
      </c>
      <c r="CB43">
        <v>46628</v>
      </c>
      <c r="CC43">
        <v>45418</v>
      </c>
      <c r="CD43">
        <v>44208</v>
      </c>
      <c r="CE43">
        <v>42998</v>
      </c>
      <c r="CF43">
        <v>41788</v>
      </c>
      <c r="CG43">
        <v>40578</v>
      </c>
      <c r="CH43">
        <v>39368</v>
      </c>
      <c r="CI43">
        <v>38158</v>
      </c>
      <c r="CJ43">
        <v>36949</v>
      </c>
      <c r="CL43" s="52">
        <v>10.8</v>
      </c>
      <c r="CM43">
        <v>1.2010000000000001</v>
      </c>
      <c r="CN43">
        <v>2.4140000000000001</v>
      </c>
      <c r="CO43">
        <v>2.903</v>
      </c>
      <c r="CP43">
        <v>4.8869999999999996</v>
      </c>
      <c r="CQ43">
        <v>7.2640000000000002</v>
      </c>
      <c r="CR43">
        <v>9.1340000000000003</v>
      </c>
      <c r="CS43">
        <v>10.404</v>
      </c>
      <c r="CT43">
        <v>11.026999999999999</v>
      </c>
      <c r="CU43">
        <v>11.066000000000001</v>
      </c>
      <c r="CW43" s="52">
        <v>10.8</v>
      </c>
      <c r="CX43">
        <v>1.208</v>
      </c>
      <c r="CY43">
        <v>2.4260000000000002</v>
      </c>
      <c r="CZ43">
        <v>2.9169999999999998</v>
      </c>
      <c r="DA43">
        <v>4.9089999999999998</v>
      </c>
      <c r="DB43">
        <v>7.29</v>
      </c>
      <c r="DC43">
        <v>9.1519999999999992</v>
      </c>
      <c r="DD43">
        <v>10.419</v>
      </c>
      <c r="DE43">
        <v>11.038</v>
      </c>
      <c r="DF43">
        <v>11.071</v>
      </c>
    </row>
    <row r="44" spans="2:110" ht="15" x14ac:dyDescent="0.35">
      <c r="B44" s="52" t="s">
        <v>28</v>
      </c>
      <c r="C44" s="1">
        <v>642.1</v>
      </c>
      <c r="D44" s="1">
        <v>629.29999999999995</v>
      </c>
      <c r="E44" s="1">
        <v>2.33</v>
      </c>
      <c r="F44" s="1">
        <v>0</v>
      </c>
      <c r="G44" s="1">
        <v>11.53</v>
      </c>
      <c r="H44" s="1">
        <v>8332</v>
      </c>
      <c r="J44">
        <v>4.7</v>
      </c>
      <c r="K44">
        <v>22061</v>
      </c>
      <c r="L44">
        <v>11017</v>
      </c>
      <c r="M44">
        <v>100.83</v>
      </c>
      <c r="N44">
        <v>2.4300000000000002</v>
      </c>
      <c r="O44">
        <v>99.77</v>
      </c>
      <c r="P44">
        <v>20.2</v>
      </c>
      <c r="Q44">
        <v>558.5</v>
      </c>
      <c r="R44">
        <v>50.5</v>
      </c>
      <c r="S44">
        <v>0.77100000000000002</v>
      </c>
      <c r="T44">
        <v>4926</v>
      </c>
      <c r="U44">
        <v>6088</v>
      </c>
      <c r="W44" s="39">
        <v>10.975</v>
      </c>
      <c r="X44">
        <v>6.8</v>
      </c>
      <c r="Y44">
        <v>8484.2999999999993</v>
      </c>
      <c r="Z44">
        <v>20450</v>
      </c>
      <c r="AA44">
        <v>158.69999999999999</v>
      </c>
      <c r="AB44">
        <v>7.52</v>
      </c>
      <c r="AD44">
        <v>11.175000000000001</v>
      </c>
      <c r="AE44">
        <v>6.8</v>
      </c>
      <c r="AF44">
        <v>9176.7000000000007</v>
      </c>
      <c r="AG44">
        <v>24137</v>
      </c>
      <c r="AH44">
        <v>130.02000000000001</v>
      </c>
      <c r="AI44">
        <v>7.58</v>
      </c>
      <c r="AK44">
        <v>11.175000000000001</v>
      </c>
      <c r="AL44">
        <v>6.8</v>
      </c>
      <c r="AM44">
        <v>9178.1</v>
      </c>
      <c r="AN44">
        <v>24142</v>
      </c>
      <c r="AO44">
        <v>101.22</v>
      </c>
      <c r="AP44">
        <v>7.58</v>
      </c>
      <c r="AR44">
        <v>11.175000000000001</v>
      </c>
      <c r="AS44">
        <v>6.8</v>
      </c>
      <c r="AT44">
        <v>9176.7000000000007</v>
      </c>
      <c r="AU44">
        <v>24137</v>
      </c>
      <c r="AV44">
        <v>72.42</v>
      </c>
      <c r="AW44">
        <v>7.58</v>
      </c>
      <c r="AY44">
        <v>11.175000000000001</v>
      </c>
      <c r="AZ44">
        <v>6.8</v>
      </c>
      <c r="BA44">
        <v>8920.7000000000007</v>
      </c>
      <c r="BB44">
        <v>24996</v>
      </c>
      <c r="BC44">
        <v>43.38</v>
      </c>
      <c r="BD44">
        <v>7.89</v>
      </c>
      <c r="BF44" s="52">
        <v>10.9</v>
      </c>
      <c r="BG44">
        <v>72581</v>
      </c>
      <c r="BH44">
        <v>71359</v>
      </c>
      <c r="BI44">
        <v>70136</v>
      </c>
      <c r="BJ44">
        <v>68913</v>
      </c>
      <c r="BK44">
        <v>67690</v>
      </c>
      <c r="BL44">
        <v>66468</v>
      </c>
      <c r="BM44">
        <v>65245</v>
      </c>
      <c r="BN44">
        <v>64022</v>
      </c>
      <c r="BO44">
        <v>62799</v>
      </c>
      <c r="BP44">
        <v>61577</v>
      </c>
      <c r="BQ44">
        <v>60353</v>
      </c>
      <c r="BR44">
        <v>59131</v>
      </c>
      <c r="BS44">
        <v>57908</v>
      </c>
      <c r="BT44">
        <v>56685</v>
      </c>
      <c r="BU44">
        <v>55463</v>
      </c>
      <c r="BV44">
        <v>54240</v>
      </c>
      <c r="BW44">
        <v>53017</v>
      </c>
      <c r="BX44">
        <v>51795</v>
      </c>
      <c r="BY44">
        <v>50572</v>
      </c>
      <c r="BZ44">
        <v>49349</v>
      </c>
      <c r="CA44">
        <v>48126</v>
      </c>
      <c r="CB44">
        <v>46904</v>
      </c>
      <c r="CC44">
        <v>45681</v>
      </c>
      <c r="CD44">
        <v>44459</v>
      </c>
      <c r="CE44">
        <v>43236</v>
      </c>
      <c r="CF44">
        <v>42014</v>
      </c>
      <c r="CG44">
        <v>40791</v>
      </c>
      <c r="CH44">
        <v>39568</v>
      </c>
      <c r="CI44">
        <v>38346</v>
      </c>
      <c r="CJ44">
        <v>37124</v>
      </c>
      <c r="CL44" s="52">
        <v>10.9</v>
      </c>
      <c r="CM44">
        <v>1.2</v>
      </c>
      <c r="CN44">
        <v>2.411</v>
      </c>
      <c r="CO44">
        <v>2.899</v>
      </c>
      <c r="CP44">
        <v>4.8810000000000002</v>
      </c>
      <c r="CQ44">
        <v>7.234</v>
      </c>
      <c r="CR44">
        <v>9.1050000000000004</v>
      </c>
      <c r="CS44">
        <v>10.375999999999999</v>
      </c>
      <c r="CT44">
        <v>11.004</v>
      </c>
      <c r="CU44">
        <v>11.053000000000001</v>
      </c>
      <c r="CW44" s="52">
        <v>10.9</v>
      </c>
      <c r="CX44">
        <v>1.206</v>
      </c>
      <c r="CY44">
        <v>2.423</v>
      </c>
      <c r="CZ44">
        <v>2.9129999999999998</v>
      </c>
      <c r="DA44">
        <v>4.9020000000000001</v>
      </c>
      <c r="DB44">
        <v>7.2590000000000003</v>
      </c>
      <c r="DC44">
        <v>9.1219999999999999</v>
      </c>
      <c r="DD44">
        <v>10.391</v>
      </c>
      <c r="DE44">
        <v>11.015000000000001</v>
      </c>
      <c r="DF44">
        <v>11.058</v>
      </c>
    </row>
    <row r="45" spans="2:110" ht="15" x14ac:dyDescent="0.35">
      <c r="B45" s="52" t="s">
        <v>27</v>
      </c>
      <c r="C45" s="1">
        <v>13348.7</v>
      </c>
      <c r="D45" s="1">
        <v>13081.8</v>
      </c>
      <c r="E45" s="1">
        <v>101.22</v>
      </c>
      <c r="F45" s="1">
        <v>0</v>
      </c>
      <c r="G45" s="1">
        <v>10.210000000000001</v>
      </c>
      <c r="H45" s="1">
        <v>63150</v>
      </c>
      <c r="J45">
        <v>4.8</v>
      </c>
      <c r="K45">
        <v>22566</v>
      </c>
      <c r="L45">
        <v>11522</v>
      </c>
      <c r="M45">
        <v>100.8</v>
      </c>
      <c r="N45">
        <v>2.48</v>
      </c>
      <c r="O45">
        <v>99.71</v>
      </c>
      <c r="P45">
        <v>19.91</v>
      </c>
      <c r="Q45">
        <v>561</v>
      </c>
      <c r="R45">
        <v>50.6</v>
      </c>
      <c r="S45">
        <v>0.77200000000000002</v>
      </c>
      <c r="T45">
        <v>4934</v>
      </c>
      <c r="U45">
        <v>6130</v>
      </c>
      <c r="W45" s="39">
        <v>10.775</v>
      </c>
      <c r="X45">
        <v>7</v>
      </c>
      <c r="Y45">
        <v>8322.1</v>
      </c>
      <c r="Z45">
        <v>20807</v>
      </c>
      <c r="AA45">
        <v>158.69999999999999</v>
      </c>
      <c r="AB45">
        <v>7.41</v>
      </c>
      <c r="AD45">
        <v>10.975</v>
      </c>
      <c r="AE45">
        <v>7</v>
      </c>
      <c r="AF45">
        <v>9005.7000000000007</v>
      </c>
      <c r="AG45">
        <v>24624</v>
      </c>
      <c r="AH45">
        <v>130.02000000000001</v>
      </c>
      <c r="AI45">
        <v>7.48</v>
      </c>
      <c r="AK45">
        <v>10.975</v>
      </c>
      <c r="AL45">
        <v>7</v>
      </c>
      <c r="AM45">
        <v>9007</v>
      </c>
      <c r="AN45">
        <v>24629</v>
      </c>
      <c r="AO45">
        <v>101.22</v>
      </c>
      <c r="AP45">
        <v>7.48</v>
      </c>
      <c r="AR45">
        <v>10.975</v>
      </c>
      <c r="AS45">
        <v>7</v>
      </c>
      <c r="AT45">
        <v>9005.7000000000007</v>
      </c>
      <c r="AU45">
        <v>24624</v>
      </c>
      <c r="AV45">
        <v>72.42</v>
      </c>
      <c r="AW45">
        <v>7.48</v>
      </c>
      <c r="AY45">
        <v>10.975</v>
      </c>
      <c r="AZ45">
        <v>7</v>
      </c>
      <c r="BA45">
        <v>8738.4</v>
      </c>
      <c r="BB45">
        <v>25440</v>
      </c>
      <c r="BC45">
        <v>43.39</v>
      </c>
      <c r="BD45">
        <v>7.78</v>
      </c>
      <c r="BF45" s="52">
        <v>11</v>
      </c>
      <c r="BG45">
        <v>73139</v>
      </c>
      <c r="BH45">
        <v>71904</v>
      </c>
      <c r="BI45">
        <v>70669</v>
      </c>
      <c r="BJ45">
        <v>69433</v>
      </c>
      <c r="BK45">
        <v>68198</v>
      </c>
      <c r="BL45">
        <v>66963</v>
      </c>
      <c r="BM45">
        <v>65728</v>
      </c>
      <c r="BN45">
        <v>64492</v>
      </c>
      <c r="BO45">
        <v>63257</v>
      </c>
      <c r="BP45">
        <v>62022</v>
      </c>
      <c r="BQ45">
        <v>60786</v>
      </c>
      <c r="BR45">
        <v>59551</v>
      </c>
      <c r="BS45">
        <v>58315</v>
      </c>
      <c r="BT45">
        <v>57080</v>
      </c>
      <c r="BU45">
        <v>55845</v>
      </c>
      <c r="BV45">
        <v>54610</v>
      </c>
      <c r="BW45">
        <v>53374</v>
      </c>
      <c r="BX45">
        <v>52139</v>
      </c>
      <c r="BY45">
        <v>50904</v>
      </c>
      <c r="BZ45">
        <v>49669</v>
      </c>
      <c r="CA45">
        <v>48433</v>
      </c>
      <c r="CB45">
        <v>47198</v>
      </c>
      <c r="CC45">
        <v>45963</v>
      </c>
      <c r="CD45">
        <v>44727</v>
      </c>
      <c r="CE45">
        <v>43492</v>
      </c>
      <c r="CF45">
        <v>42257</v>
      </c>
      <c r="CG45">
        <v>41022</v>
      </c>
      <c r="CH45">
        <v>39787</v>
      </c>
      <c r="CI45">
        <v>38551</v>
      </c>
      <c r="CJ45">
        <v>37316</v>
      </c>
      <c r="CL45" s="52">
        <v>11</v>
      </c>
      <c r="CM45">
        <v>1.1990000000000001</v>
      </c>
      <c r="CN45">
        <v>2.4079999999999999</v>
      </c>
      <c r="CO45">
        <v>2.895</v>
      </c>
      <c r="CP45">
        <v>4.8739999999999997</v>
      </c>
      <c r="CQ45">
        <v>7.2039999999999997</v>
      </c>
      <c r="CR45">
        <v>9.077</v>
      </c>
      <c r="CS45">
        <v>10.349</v>
      </c>
      <c r="CT45">
        <v>10.98</v>
      </c>
      <c r="CU45">
        <v>11.04</v>
      </c>
      <c r="CW45" s="52">
        <v>11</v>
      </c>
      <c r="CX45">
        <v>1.204</v>
      </c>
      <c r="CY45">
        <v>2.42</v>
      </c>
      <c r="CZ45">
        <v>2.9089999999999998</v>
      </c>
      <c r="DA45">
        <v>4.8949999999999996</v>
      </c>
      <c r="DB45">
        <v>7.2279999999999998</v>
      </c>
      <c r="DC45">
        <v>9.093</v>
      </c>
      <c r="DD45">
        <v>10.363</v>
      </c>
      <c r="DE45">
        <v>10.991</v>
      </c>
      <c r="DF45">
        <v>11.045</v>
      </c>
    </row>
    <row r="46" spans="2:110" ht="15" x14ac:dyDescent="0.35">
      <c r="B46" s="18"/>
      <c r="C46" s="18"/>
      <c r="D46" s="18"/>
      <c r="E46" s="18"/>
      <c r="F46" s="18"/>
      <c r="G46" s="18"/>
      <c r="H46" s="18"/>
      <c r="J46">
        <v>4.9000000000000004</v>
      </c>
      <c r="K46">
        <v>23072</v>
      </c>
      <c r="L46">
        <v>12028</v>
      </c>
      <c r="M46">
        <v>100.78</v>
      </c>
      <c r="N46">
        <v>2.5299999999999998</v>
      </c>
      <c r="O46">
        <v>99.64</v>
      </c>
      <c r="P46">
        <v>19.63</v>
      </c>
      <c r="Q46">
        <v>563.6</v>
      </c>
      <c r="R46">
        <v>50.7</v>
      </c>
      <c r="S46">
        <v>0.77400000000000002</v>
      </c>
      <c r="T46">
        <v>4943</v>
      </c>
      <c r="U46">
        <v>6171</v>
      </c>
      <c r="W46" s="39">
        <v>10.574999999999999</v>
      </c>
      <c r="X46">
        <v>7.2</v>
      </c>
      <c r="Y46">
        <v>8159.9</v>
      </c>
      <c r="Z46">
        <v>21142</v>
      </c>
      <c r="AA46">
        <v>158.69999999999999</v>
      </c>
      <c r="AB46">
        <v>7.31</v>
      </c>
      <c r="AD46">
        <v>10.775</v>
      </c>
      <c r="AE46">
        <v>7.2</v>
      </c>
      <c r="AF46">
        <v>8834.6</v>
      </c>
      <c r="AG46">
        <v>25097</v>
      </c>
      <c r="AH46">
        <v>130.02000000000001</v>
      </c>
      <c r="AI46">
        <v>7.38</v>
      </c>
      <c r="AK46">
        <v>10.775</v>
      </c>
      <c r="AL46">
        <v>7.2</v>
      </c>
      <c r="AM46">
        <v>8835.9</v>
      </c>
      <c r="AN46">
        <v>25101</v>
      </c>
      <c r="AO46">
        <v>101.22</v>
      </c>
      <c r="AP46">
        <v>7.38</v>
      </c>
      <c r="AR46">
        <v>10.775</v>
      </c>
      <c r="AS46">
        <v>7.2</v>
      </c>
      <c r="AT46">
        <v>8834.7000000000007</v>
      </c>
      <c r="AU46">
        <v>25097</v>
      </c>
      <c r="AV46">
        <v>72.42</v>
      </c>
      <c r="AW46">
        <v>7.38</v>
      </c>
      <c r="AY46">
        <v>10.775</v>
      </c>
      <c r="AZ46">
        <v>7.2</v>
      </c>
      <c r="BA46">
        <v>8556</v>
      </c>
      <c r="BB46">
        <v>25852</v>
      </c>
      <c r="BC46">
        <v>43.41</v>
      </c>
      <c r="BD46">
        <v>7.68</v>
      </c>
      <c r="BF46" s="52">
        <v>11.1</v>
      </c>
      <c r="BG46">
        <v>73716</v>
      </c>
      <c r="BH46">
        <v>72468</v>
      </c>
      <c r="BI46">
        <v>71221</v>
      </c>
      <c r="BJ46">
        <v>69973</v>
      </c>
      <c r="BK46">
        <v>68725</v>
      </c>
      <c r="BL46">
        <v>67477</v>
      </c>
      <c r="BM46">
        <v>66229</v>
      </c>
      <c r="BN46">
        <v>64981</v>
      </c>
      <c r="BO46">
        <v>63734</v>
      </c>
      <c r="BP46">
        <v>62486</v>
      </c>
      <c r="BQ46">
        <v>61237</v>
      </c>
      <c r="BR46">
        <v>59989</v>
      </c>
      <c r="BS46">
        <v>58742</v>
      </c>
      <c r="BT46">
        <v>57494</v>
      </c>
      <c r="BU46">
        <v>56246</v>
      </c>
      <c r="BV46">
        <v>54998</v>
      </c>
      <c r="BW46">
        <v>53750</v>
      </c>
      <c r="BX46">
        <v>52502</v>
      </c>
      <c r="BY46">
        <v>51254</v>
      </c>
      <c r="BZ46">
        <v>50007</v>
      </c>
      <c r="CA46">
        <v>48758</v>
      </c>
      <c r="CB46">
        <v>47510</v>
      </c>
      <c r="CC46">
        <v>46262</v>
      </c>
      <c r="CD46">
        <v>45015</v>
      </c>
      <c r="CE46">
        <v>43767</v>
      </c>
      <c r="CF46">
        <v>42519</v>
      </c>
      <c r="CG46">
        <v>41271</v>
      </c>
      <c r="CH46">
        <v>40023</v>
      </c>
      <c r="CI46">
        <v>38775</v>
      </c>
      <c r="CJ46">
        <v>37528</v>
      </c>
      <c r="CL46" s="52">
        <v>11.1</v>
      </c>
      <c r="CM46">
        <v>1.1970000000000001</v>
      </c>
      <c r="CN46">
        <v>2.4060000000000001</v>
      </c>
      <c r="CO46">
        <v>2.8919999999999999</v>
      </c>
      <c r="CP46">
        <v>4.8689999999999998</v>
      </c>
      <c r="CQ46">
        <v>7.1740000000000004</v>
      </c>
      <c r="CR46">
        <v>9.048</v>
      </c>
      <c r="CS46">
        <v>10.321</v>
      </c>
      <c r="CT46">
        <v>10.956</v>
      </c>
      <c r="CU46">
        <v>11.026999999999999</v>
      </c>
      <c r="CW46" s="52">
        <v>11.1</v>
      </c>
      <c r="CX46">
        <v>1.2030000000000001</v>
      </c>
      <c r="CY46">
        <v>2.4169999999999998</v>
      </c>
      <c r="CZ46">
        <v>2.9060000000000001</v>
      </c>
      <c r="DA46">
        <v>4.8890000000000002</v>
      </c>
      <c r="DB46">
        <v>7.1970000000000001</v>
      </c>
      <c r="DC46">
        <v>9.0630000000000006</v>
      </c>
      <c r="DD46">
        <v>10.335000000000001</v>
      </c>
      <c r="DE46">
        <v>10.968</v>
      </c>
      <c r="DF46">
        <v>11.032</v>
      </c>
    </row>
    <row r="47" spans="2:110" ht="15" x14ac:dyDescent="0.35">
      <c r="B47" s="52" t="s">
        <v>45</v>
      </c>
      <c r="C47" s="22">
        <v>31480.7</v>
      </c>
      <c r="D47" s="22">
        <v>30851.5</v>
      </c>
      <c r="E47" s="18"/>
      <c r="F47" s="18"/>
      <c r="G47" s="18"/>
      <c r="H47" s="18"/>
      <c r="J47">
        <v>5</v>
      </c>
      <c r="K47">
        <v>23579</v>
      </c>
      <c r="L47">
        <v>12535</v>
      </c>
      <c r="M47">
        <v>100.76</v>
      </c>
      <c r="N47">
        <v>2.59</v>
      </c>
      <c r="O47">
        <v>99.58</v>
      </c>
      <c r="P47">
        <v>19.36</v>
      </c>
      <c r="Q47">
        <v>566.20000000000005</v>
      </c>
      <c r="R47">
        <v>50.8</v>
      </c>
      <c r="S47">
        <v>0.77500000000000002</v>
      </c>
      <c r="T47">
        <v>4952</v>
      </c>
      <c r="U47">
        <v>6212</v>
      </c>
      <c r="W47" s="39">
        <v>10.375</v>
      </c>
      <c r="X47">
        <v>7.4</v>
      </c>
      <c r="Y47">
        <v>7997.7</v>
      </c>
      <c r="Z47">
        <v>21456</v>
      </c>
      <c r="AA47">
        <v>158.69999999999999</v>
      </c>
      <c r="AB47">
        <v>7.21</v>
      </c>
      <c r="AD47">
        <v>10.574999999999999</v>
      </c>
      <c r="AE47">
        <v>7.4</v>
      </c>
      <c r="AF47">
        <v>8663.6</v>
      </c>
      <c r="AG47">
        <v>25555</v>
      </c>
      <c r="AH47">
        <v>130.02000000000001</v>
      </c>
      <c r="AI47">
        <v>7.28</v>
      </c>
      <c r="AK47">
        <v>10.574999999999999</v>
      </c>
      <c r="AL47">
        <v>7.4</v>
      </c>
      <c r="AM47">
        <v>8664.9</v>
      </c>
      <c r="AN47">
        <v>25560</v>
      </c>
      <c r="AO47">
        <v>101.22</v>
      </c>
      <c r="AP47">
        <v>7.28</v>
      </c>
      <c r="AR47">
        <v>10.574999999999999</v>
      </c>
      <c r="AS47">
        <v>7.4</v>
      </c>
      <c r="AT47">
        <v>8663.6</v>
      </c>
      <c r="AU47">
        <v>25555</v>
      </c>
      <c r="AV47">
        <v>72.42</v>
      </c>
      <c r="AW47">
        <v>7.28</v>
      </c>
      <c r="AY47">
        <v>10.574999999999999</v>
      </c>
      <c r="AZ47">
        <v>7.4</v>
      </c>
      <c r="BA47">
        <v>8373.6</v>
      </c>
      <c r="BB47">
        <v>26228</v>
      </c>
      <c r="BC47">
        <v>43.42</v>
      </c>
      <c r="BD47">
        <v>7.57</v>
      </c>
      <c r="BF47" s="52">
        <v>11.2</v>
      </c>
      <c r="BG47">
        <v>74313</v>
      </c>
      <c r="BH47">
        <v>73053</v>
      </c>
      <c r="BI47">
        <v>71792</v>
      </c>
      <c r="BJ47">
        <v>70532</v>
      </c>
      <c r="BK47">
        <v>69271</v>
      </c>
      <c r="BL47">
        <v>68011</v>
      </c>
      <c r="BM47">
        <v>66751</v>
      </c>
      <c r="BN47">
        <v>65490</v>
      </c>
      <c r="BO47">
        <v>64230</v>
      </c>
      <c r="BP47">
        <v>62969</v>
      </c>
      <c r="BQ47">
        <v>61708</v>
      </c>
      <c r="BR47">
        <v>60448</v>
      </c>
      <c r="BS47">
        <v>59187</v>
      </c>
      <c r="BT47">
        <v>57927</v>
      </c>
      <c r="BU47">
        <v>56666</v>
      </c>
      <c r="BV47">
        <v>55406</v>
      </c>
      <c r="BW47">
        <v>54145</v>
      </c>
      <c r="BX47">
        <v>52885</v>
      </c>
      <c r="BY47">
        <v>51624</v>
      </c>
      <c r="BZ47">
        <v>50364</v>
      </c>
      <c r="CA47">
        <v>49102</v>
      </c>
      <c r="CB47">
        <v>47842</v>
      </c>
      <c r="CC47">
        <v>46581</v>
      </c>
      <c r="CD47">
        <v>45321</v>
      </c>
      <c r="CE47">
        <v>44060</v>
      </c>
      <c r="CF47">
        <v>42800</v>
      </c>
      <c r="CG47">
        <v>41539</v>
      </c>
      <c r="CH47">
        <v>40279</v>
      </c>
      <c r="CI47">
        <v>39018</v>
      </c>
      <c r="CJ47">
        <v>37757</v>
      </c>
      <c r="CL47" s="52">
        <v>11.2</v>
      </c>
      <c r="CM47">
        <v>1.196</v>
      </c>
      <c r="CN47">
        <v>2.403</v>
      </c>
      <c r="CO47">
        <v>2.8889999999999998</v>
      </c>
      <c r="CP47">
        <v>4.8630000000000004</v>
      </c>
      <c r="CQ47">
        <v>7.1449999999999996</v>
      </c>
      <c r="CR47">
        <v>9.0190000000000001</v>
      </c>
      <c r="CS47">
        <v>10.292999999999999</v>
      </c>
      <c r="CT47">
        <v>10.933</v>
      </c>
      <c r="CU47">
        <v>11.013999999999999</v>
      </c>
      <c r="CW47" s="52">
        <v>11.2</v>
      </c>
      <c r="CX47">
        <v>1.202</v>
      </c>
      <c r="CY47">
        <v>2.415</v>
      </c>
      <c r="CZ47">
        <v>2.903</v>
      </c>
      <c r="DA47">
        <v>4.883</v>
      </c>
      <c r="DB47">
        <v>7.1660000000000004</v>
      </c>
      <c r="DC47">
        <v>9.0340000000000007</v>
      </c>
      <c r="DD47">
        <v>10.305999999999999</v>
      </c>
      <c r="DE47">
        <v>10.944000000000001</v>
      </c>
      <c r="DF47">
        <v>11.019</v>
      </c>
    </row>
    <row r="48" spans="2:110" ht="15" x14ac:dyDescent="0.35">
      <c r="J48">
        <v>5.0999999999999996</v>
      </c>
      <c r="K48">
        <v>24087</v>
      </c>
      <c r="L48">
        <v>13043</v>
      </c>
      <c r="M48">
        <v>100.73</v>
      </c>
      <c r="N48">
        <v>2.64</v>
      </c>
      <c r="O48">
        <v>99.5</v>
      </c>
      <c r="P48">
        <v>19.100000000000001</v>
      </c>
      <c r="Q48">
        <v>568.79999999999995</v>
      </c>
      <c r="R48">
        <v>50.9</v>
      </c>
      <c r="S48">
        <v>0.77700000000000002</v>
      </c>
      <c r="T48">
        <v>4961</v>
      </c>
      <c r="U48">
        <v>6253</v>
      </c>
      <c r="W48" s="39">
        <v>10.175000000000001</v>
      </c>
      <c r="X48">
        <v>7.6</v>
      </c>
      <c r="Y48">
        <v>7835.5</v>
      </c>
      <c r="Z48">
        <v>21751</v>
      </c>
      <c r="AA48">
        <v>158.69999999999999</v>
      </c>
      <c r="AB48">
        <v>7.11</v>
      </c>
      <c r="AD48">
        <v>10.375</v>
      </c>
      <c r="AE48">
        <v>7.6</v>
      </c>
      <c r="AF48">
        <v>8492.6</v>
      </c>
      <c r="AG48">
        <v>26000</v>
      </c>
      <c r="AH48">
        <v>130.02000000000001</v>
      </c>
      <c r="AI48">
        <v>7.18</v>
      </c>
      <c r="AK48">
        <v>10.375</v>
      </c>
      <c r="AL48">
        <v>7.6</v>
      </c>
      <c r="AM48">
        <v>8493.7999999999993</v>
      </c>
      <c r="AN48">
        <v>26005</v>
      </c>
      <c r="AO48">
        <v>101.22</v>
      </c>
      <c r="AP48">
        <v>7.18</v>
      </c>
      <c r="AR48">
        <v>10.375</v>
      </c>
      <c r="AS48">
        <v>7.6</v>
      </c>
      <c r="AT48">
        <v>8492.6</v>
      </c>
      <c r="AU48">
        <v>26000</v>
      </c>
      <c r="AV48">
        <v>72.42</v>
      </c>
      <c r="AW48">
        <v>7.18</v>
      </c>
      <c r="AY48">
        <v>10.375</v>
      </c>
      <c r="AZ48">
        <v>7.6</v>
      </c>
      <c r="BA48">
        <v>8191.2</v>
      </c>
      <c r="BB48">
        <v>26570</v>
      </c>
      <c r="BC48">
        <v>43.44</v>
      </c>
      <c r="BD48">
        <v>7.47</v>
      </c>
      <c r="BF48" s="52">
        <v>11.3</v>
      </c>
      <c r="BG48">
        <v>74930</v>
      </c>
      <c r="BH48">
        <v>73657</v>
      </c>
      <c r="BI48">
        <v>72384</v>
      </c>
      <c r="BJ48">
        <v>71111</v>
      </c>
      <c r="BK48">
        <v>69837</v>
      </c>
      <c r="BL48">
        <v>68564</v>
      </c>
      <c r="BM48">
        <v>67290</v>
      </c>
      <c r="BN48">
        <v>66017</v>
      </c>
      <c r="BO48">
        <v>64743</v>
      </c>
      <c r="BP48">
        <v>63469</v>
      </c>
      <c r="BQ48">
        <v>62195</v>
      </c>
      <c r="BR48">
        <v>60921</v>
      </c>
      <c r="BS48">
        <v>59648</v>
      </c>
      <c r="BT48">
        <v>58374</v>
      </c>
      <c r="BU48">
        <v>57100</v>
      </c>
      <c r="BV48">
        <v>55833</v>
      </c>
      <c r="BW48">
        <v>54560</v>
      </c>
      <c r="BX48">
        <v>53287</v>
      </c>
      <c r="BY48">
        <v>52014</v>
      </c>
      <c r="BZ48">
        <v>50741</v>
      </c>
      <c r="CA48">
        <v>49468</v>
      </c>
      <c r="CB48">
        <v>48195</v>
      </c>
      <c r="CC48">
        <v>46921</v>
      </c>
      <c r="CD48">
        <v>45648</v>
      </c>
      <c r="CE48">
        <v>44375</v>
      </c>
      <c r="CF48">
        <v>43102</v>
      </c>
      <c r="CG48">
        <v>41829</v>
      </c>
      <c r="CH48">
        <v>40556</v>
      </c>
      <c r="CI48">
        <v>39283</v>
      </c>
      <c r="CJ48">
        <v>38010</v>
      </c>
      <c r="CL48" s="52">
        <v>11.3</v>
      </c>
      <c r="CM48">
        <v>1.1950000000000001</v>
      </c>
      <c r="CN48">
        <v>2.4009999999999998</v>
      </c>
      <c r="CO48">
        <v>2.887</v>
      </c>
      <c r="CP48">
        <v>4.8579999999999997</v>
      </c>
      <c r="CQ48">
        <v>7.1159999999999997</v>
      </c>
      <c r="CR48">
        <v>8.99</v>
      </c>
      <c r="CS48">
        <v>10.263999999999999</v>
      </c>
      <c r="CT48">
        <v>10.909000000000001</v>
      </c>
      <c r="CU48">
        <v>11.000999999999999</v>
      </c>
      <c r="CW48" s="52">
        <v>11.3</v>
      </c>
      <c r="CX48">
        <v>1.2010000000000001</v>
      </c>
      <c r="CY48">
        <v>2.4119999999999999</v>
      </c>
      <c r="CZ48">
        <v>2.9</v>
      </c>
      <c r="DA48">
        <v>4.8769999999999998</v>
      </c>
      <c r="DB48">
        <v>7.1360000000000001</v>
      </c>
      <c r="DC48">
        <v>9.0039999999999996</v>
      </c>
      <c r="DD48">
        <v>10.276999999999999</v>
      </c>
      <c r="DE48">
        <v>10.92</v>
      </c>
      <c r="DF48">
        <v>11.006</v>
      </c>
    </row>
    <row r="49" spans="2:110" ht="15" x14ac:dyDescent="0.35">
      <c r="J49">
        <v>5.2</v>
      </c>
      <c r="K49">
        <v>24596</v>
      </c>
      <c r="L49">
        <v>13552</v>
      </c>
      <c r="M49">
        <v>100.7</v>
      </c>
      <c r="N49">
        <v>2.69</v>
      </c>
      <c r="O49">
        <v>99.43</v>
      </c>
      <c r="P49">
        <v>18.850000000000001</v>
      </c>
      <c r="Q49">
        <v>571.4</v>
      </c>
      <c r="R49">
        <v>50.9</v>
      </c>
      <c r="S49">
        <v>0.77700000000000002</v>
      </c>
      <c r="T49">
        <v>4969</v>
      </c>
      <c r="U49">
        <v>6294</v>
      </c>
      <c r="W49" s="39">
        <v>9.9749999999999996</v>
      </c>
      <c r="X49">
        <v>7.8</v>
      </c>
      <c r="Y49">
        <v>7673.3</v>
      </c>
      <c r="Z49">
        <v>22029</v>
      </c>
      <c r="AA49">
        <v>158.69</v>
      </c>
      <c r="AB49">
        <v>7.01</v>
      </c>
      <c r="AD49">
        <v>10.175000000000001</v>
      </c>
      <c r="AE49">
        <v>7.8</v>
      </c>
      <c r="AF49">
        <v>8321.5</v>
      </c>
      <c r="AG49">
        <v>26430</v>
      </c>
      <c r="AH49">
        <v>130.02000000000001</v>
      </c>
      <c r="AI49">
        <v>7.08</v>
      </c>
      <c r="AK49">
        <v>10.175000000000001</v>
      </c>
      <c r="AL49">
        <v>7.8</v>
      </c>
      <c r="AM49">
        <v>8322.7000000000007</v>
      </c>
      <c r="AN49">
        <v>26435</v>
      </c>
      <c r="AO49">
        <v>101.22</v>
      </c>
      <c r="AP49">
        <v>7.08</v>
      </c>
      <c r="AR49">
        <v>10.175000000000001</v>
      </c>
      <c r="AS49">
        <v>7.8</v>
      </c>
      <c r="AT49">
        <v>8321.6</v>
      </c>
      <c r="AU49">
        <v>26430</v>
      </c>
      <c r="AV49">
        <v>72.42</v>
      </c>
      <c r="AW49">
        <v>7.08</v>
      </c>
      <c r="AY49">
        <v>10.175000000000001</v>
      </c>
      <c r="AZ49">
        <v>7.8</v>
      </c>
      <c r="BA49">
        <v>8008.8</v>
      </c>
      <c r="BB49">
        <v>26880</v>
      </c>
      <c r="BC49">
        <v>43.46</v>
      </c>
      <c r="BD49">
        <v>7.36</v>
      </c>
      <c r="BF49" s="52">
        <v>11.4</v>
      </c>
      <c r="BG49">
        <v>75569</v>
      </c>
      <c r="BH49">
        <v>74283</v>
      </c>
      <c r="BI49">
        <v>72997</v>
      </c>
      <c r="BJ49">
        <v>71712</v>
      </c>
      <c r="BK49">
        <v>70425</v>
      </c>
      <c r="BL49">
        <v>69139</v>
      </c>
      <c r="BM49">
        <v>67853</v>
      </c>
      <c r="BN49">
        <v>66567</v>
      </c>
      <c r="BO49">
        <v>65281</v>
      </c>
      <c r="BP49">
        <v>63995</v>
      </c>
      <c r="BQ49">
        <v>62709</v>
      </c>
      <c r="BR49">
        <v>61422</v>
      </c>
      <c r="BS49">
        <v>60136</v>
      </c>
      <c r="BT49">
        <v>58850</v>
      </c>
      <c r="BU49">
        <v>57564</v>
      </c>
      <c r="BV49">
        <v>56278</v>
      </c>
      <c r="BW49">
        <v>54992</v>
      </c>
      <c r="BX49">
        <v>53705</v>
      </c>
      <c r="BY49">
        <v>52419</v>
      </c>
      <c r="BZ49">
        <v>51133</v>
      </c>
      <c r="CA49">
        <v>49846</v>
      </c>
      <c r="CB49">
        <v>48560</v>
      </c>
      <c r="CC49">
        <v>47273</v>
      </c>
      <c r="CD49">
        <v>45987</v>
      </c>
      <c r="CE49">
        <v>44701</v>
      </c>
      <c r="CF49">
        <v>43414</v>
      </c>
      <c r="CG49">
        <v>42128</v>
      </c>
      <c r="CH49">
        <v>40842</v>
      </c>
      <c r="CI49">
        <v>39552</v>
      </c>
      <c r="CJ49">
        <v>38265</v>
      </c>
      <c r="CL49" s="52">
        <v>11.4</v>
      </c>
      <c r="CM49">
        <v>1.194</v>
      </c>
      <c r="CN49">
        <v>2.399</v>
      </c>
      <c r="CO49">
        <v>2.8839999999999999</v>
      </c>
      <c r="CP49">
        <v>4.8540000000000001</v>
      </c>
      <c r="CQ49">
        <v>7.0869999999999997</v>
      </c>
      <c r="CR49">
        <v>8.9610000000000003</v>
      </c>
      <c r="CS49">
        <v>10.236000000000001</v>
      </c>
      <c r="CT49">
        <v>10.885</v>
      </c>
      <c r="CU49">
        <v>10.988</v>
      </c>
      <c r="CW49" s="52">
        <v>11.4</v>
      </c>
      <c r="CX49">
        <v>1.2</v>
      </c>
      <c r="CY49">
        <v>2.41</v>
      </c>
      <c r="CZ49">
        <v>2.8969999999999998</v>
      </c>
      <c r="DA49">
        <v>4.8719999999999999</v>
      </c>
      <c r="DB49">
        <v>7.1050000000000004</v>
      </c>
      <c r="DC49">
        <v>8.9740000000000002</v>
      </c>
      <c r="DD49">
        <v>10.247</v>
      </c>
      <c r="DE49">
        <v>10.896000000000001</v>
      </c>
      <c r="DF49">
        <v>10.993</v>
      </c>
    </row>
    <row r="50" spans="2:110" ht="15" x14ac:dyDescent="0.35">
      <c r="J50">
        <v>5.3</v>
      </c>
      <c r="K50">
        <v>25106</v>
      </c>
      <c r="L50">
        <v>14062</v>
      </c>
      <c r="M50">
        <v>100.68</v>
      </c>
      <c r="N50">
        <v>2.74</v>
      </c>
      <c r="O50">
        <v>99.35</v>
      </c>
      <c r="P50">
        <v>18.62</v>
      </c>
      <c r="Q50">
        <v>574</v>
      </c>
      <c r="R50">
        <v>51</v>
      </c>
      <c r="S50">
        <v>0.77900000000000003</v>
      </c>
      <c r="T50">
        <v>4978</v>
      </c>
      <c r="U50">
        <v>6335</v>
      </c>
      <c r="W50" s="39">
        <v>9.7750000000000004</v>
      </c>
      <c r="X50">
        <v>8</v>
      </c>
      <c r="Y50">
        <v>7511</v>
      </c>
      <c r="Z50">
        <v>22288</v>
      </c>
      <c r="AA50">
        <v>158.69</v>
      </c>
      <c r="AB50">
        <v>6.91</v>
      </c>
      <c r="AD50">
        <v>9.9749999999999996</v>
      </c>
      <c r="AE50">
        <v>8</v>
      </c>
      <c r="AF50">
        <v>8150.5</v>
      </c>
      <c r="AG50">
        <v>26842</v>
      </c>
      <c r="AH50">
        <v>130.02000000000001</v>
      </c>
      <c r="AI50">
        <v>6.98</v>
      </c>
      <c r="AK50">
        <v>9.9749999999999996</v>
      </c>
      <c r="AL50">
        <v>8</v>
      </c>
      <c r="AM50">
        <v>8151.6</v>
      </c>
      <c r="AN50">
        <v>26848</v>
      </c>
      <c r="AO50">
        <v>101.22</v>
      </c>
      <c r="AP50">
        <v>6.98</v>
      </c>
      <c r="AR50">
        <v>9.9749999999999996</v>
      </c>
      <c r="AS50">
        <v>8</v>
      </c>
      <c r="AT50">
        <v>8150.5</v>
      </c>
      <c r="AU50">
        <v>26843</v>
      </c>
      <c r="AV50">
        <v>72.42</v>
      </c>
      <c r="AW50">
        <v>6.98</v>
      </c>
      <c r="AY50">
        <v>9.9749999999999996</v>
      </c>
      <c r="AZ50">
        <v>8</v>
      </c>
      <c r="BA50">
        <v>7826.4</v>
      </c>
      <c r="BB50">
        <v>27155</v>
      </c>
      <c r="BC50">
        <v>43.48</v>
      </c>
      <c r="BD50">
        <v>7.25</v>
      </c>
      <c r="BF50" s="52">
        <v>11.5</v>
      </c>
      <c r="BG50">
        <v>76740</v>
      </c>
      <c r="BH50">
        <v>75446</v>
      </c>
      <c r="BI50">
        <v>74151</v>
      </c>
      <c r="BJ50">
        <v>72857</v>
      </c>
      <c r="BK50">
        <v>71563</v>
      </c>
      <c r="BL50">
        <v>69734</v>
      </c>
      <c r="BM50">
        <v>68435</v>
      </c>
      <c r="BN50">
        <v>67135</v>
      </c>
      <c r="BO50">
        <v>65835</v>
      </c>
      <c r="BP50">
        <v>64541</v>
      </c>
      <c r="BQ50">
        <v>63242</v>
      </c>
      <c r="BR50">
        <v>61943</v>
      </c>
      <c r="BS50">
        <v>60644</v>
      </c>
      <c r="BT50">
        <v>59345</v>
      </c>
      <c r="BU50">
        <v>58046</v>
      </c>
      <c r="BV50">
        <v>56747</v>
      </c>
      <c r="BW50">
        <v>55448</v>
      </c>
      <c r="BX50">
        <v>54149</v>
      </c>
      <c r="BY50">
        <v>52849</v>
      </c>
      <c r="BZ50">
        <v>51550</v>
      </c>
      <c r="CA50">
        <v>50250</v>
      </c>
      <c r="CB50">
        <v>48951</v>
      </c>
      <c r="CC50">
        <v>47652</v>
      </c>
      <c r="CD50">
        <v>46352</v>
      </c>
      <c r="CE50">
        <v>45053</v>
      </c>
      <c r="CF50">
        <v>43754</v>
      </c>
      <c r="CG50">
        <v>42455</v>
      </c>
      <c r="CH50">
        <v>41155</v>
      </c>
      <c r="CI50">
        <v>39856</v>
      </c>
      <c r="CJ50">
        <v>38556</v>
      </c>
      <c r="CL50" s="52">
        <v>11.5</v>
      </c>
      <c r="CM50">
        <v>1.1930000000000001</v>
      </c>
      <c r="CN50">
        <v>2.3969999999999998</v>
      </c>
      <c r="CO50">
        <v>2.8820000000000001</v>
      </c>
      <c r="CP50">
        <v>4.8490000000000002</v>
      </c>
      <c r="CQ50">
        <v>7.0579999999999998</v>
      </c>
      <c r="CR50">
        <v>8.9309999999999992</v>
      </c>
      <c r="CS50">
        <v>10.207000000000001</v>
      </c>
      <c r="CT50">
        <v>10.861000000000001</v>
      </c>
      <c r="CU50">
        <v>10.975</v>
      </c>
      <c r="CW50" s="52">
        <v>11.5</v>
      </c>
      <c r="CX50">
        <v>1.1990000000000001</v>
      </c>
      <c r="CY50">
        <v>2.4079999999999999</v>
      </c>
      <c r="CZ50">
        <v>2.895</v>
      </c>
      <c r="DA50">
        <v>4.867</v>
      </c>
      <c r="DB50">
        <v>7.0750000000000002</v>
      </c>
      <c r="DC50">
        <v>8.9440000000000008</v>
      </c>
      <c r="DD50">
        <v>10.218</v>
      </c>
      <c r="DE50">
        <v>10.872</v>
      </c>
      <c r="DF50">
        <v>10.98</v>
      </c>
    </row>
    <row r="51" spans="2:110" ht="15" x14ac:dyDescent="0.35">
      <c r="J51">
        <v>5.4</v>
      </c>
      <c r="K51">
        <v>25617</v>
      </c>
      <c r="L51">
        <v>14573</v>
      </c>
      <c r="M51">
        <v>100.65</v>
      </c>
      <c r="N51">
        <v>2.79</v>
      </c>
      <c r="O51">
        <v>99.27</v>
      </c>
      <c r="P51">
        <v>18.399999999999999</v>
      </c>
      <c r="Q51">
        <v>576.70000000000005</v>
      </c>
      <c r="R51">
        <v>51.1</v>
      </c>
      <c r="S51">
        <v>0.78</v>
      </c>
      <c r="T51">
        <v>4987</v>
      </c>
      <c r="U51">
        <v>6377</v>
      </c>
      <c r="W51" s="39">
        <v>9.5749999999999993</v>
      </c>
      <c r="X51">
        <v>8.1999999999999993</v>
      </c>
      <c r="Y51">
        <v>7348.8</v>
      </c>
      <c r="Z51">
        <v>22528</v>
      </c>
      <c r="AA51">
        <v>158.69</v>
      </c>
      <c r="AB51">
        <v>6.81</v>
      </c>
      <c r="AD51">
        <v>9.7750000000000004</v>
      </c>
      <c r="AE51">
        <v>8.1999999999999993</v>
      </c>
      <c r="AF51">
        <v>7979.4</v>
      </c>
      <c r="AG51">
        <v>27234</v>
      </c>
      <c r="AH51">
        <v>130.02000000000001</v>
      </c>
      <c r="AI51">
        <v>6.87</v>
      </c>
      <c r="AK51">
        <v>9.7750000000000004</v>
      </c>
      <c r="AL51">
        <v>8.1999999999999993</v>
      </c>
      <c r="AM51">
        <v>7980.6</v>
      </c>
      <c r="AN51">
        <v>27239</v>
      </c>
      <c r="AO51">
        <v>101.22</v>
      </c>
      <c r="AP51">
        <v>6.87</v>
      </c>
      <c r="AR51">
        <v>9.7750000000000004</v>
      </c>
      <c r="AS51">
        <v>8.1999999999999993</v>
      </c>
      <c r="AT51">
        <v>7979.5</v>
      </c>
      <c r="AU51">
        <v>27234</v>
      </c>
      <c r="AV51">
        <v>72.42</v>
      </c>
      <c r="AW51">
        <v>6.87</v>
      </c>
      <c r="AY51">
        <v>9.7750000000000004</v>
      </c>
      <c r="AZ51">
        <v>8.1999999999999993</v>
      </c>
      <c r="BA51">
        <v>7644</v>
      </c>
      <c r="BB51">
        <v>27398</v>
      </c>
      <c r="BC51">
        <v>43.5</v>
      </c>
      <c r="BD51">
        <v>7.15</v>
      </c>
      <c r="BF51" s="52">
        <v>11.6</v>
      </c>
      <c r="BG51">
        <v>77352</v>
      </c>
      <c r="BH51">
        <v>76045</v>
      </c>
      <c r="BI51">
        <v>74738</v>
      </c>
      <c r="BJ51">
        <v>73432</v>
      </c>
      <c r="BK51">
        <v>72125</v>
      </c>
      <c r="BL51">
        <v>70818</v>
      </c>
      <c r="BM51">
        <v>69511</v>
      </c>
      <c r="BN51">
        <v>68204</v>
      </c>
      <c r="BO51">
        <v>66898</v>
      </c>
      <c r="BP51">
        <v>65591</v>
      </c>
      <c r="BQ51">
        <v>63759</v>
      </c>
      <c r="BR51">
        <v>62447</v>
      </c>
      <c r="BS51">
        <v>61135</v>
      </c>
      <c r="BT51">
        <v>59823</v>
      </c>
      <c r="BU51">
        <v>58511</v>
      </c>
      <c r="BV51">
        <v>57199</v>
      </c>
      <c r="BW51">
        <v>55887</v>
      </c>
      <c r="BX51">
        <v>54576</v>
      </c>
      <c r="BY51">
        <v>53263</v>
      </c>
      <c r="BZ51">
        <v>51952</v>
      </c>
      <c r="CA51">
        <v>50639</v>
      </c>
      <c r="CB51">
        <v>49327</v>
      </c>
      <c r="CC51">
        <v>48015</v>
      </c>
      <c r="CD51">
        <v>46703</v>
      </c>
      <c r="CE51">
        <v>45391</v>
      </c>
      <c r="CF51">
        <v>44080</v>
      </c>
      <c r="CG51">
        <v>42768</v>
      </c>
      <c r="CH51">
        <v>41456</v>
      </c>
      <c r="CI51">
        <v>40144</v>
      </c>
      <c r="CJ51">
        <v>38832</v>
      </c>
      <c r="CL51" s="52">
        <v>11.6</v>
      </c>
      <c r="CM51">
        <v>1.1930000000000001</v>
      </c>
      <c r="CN51">
        <v>2.3959999999999999</v>
      </c>
      <c r="CO51">
        <v>2.88</v>
      </c>
      <c r="CP51">
        <v>4.8460000000000001</v>
      </c>
      <c r="CQ51">
        <v>7.03</v>
      </c>
      <c r="CR51">
        <v>8.9009999999999998</v>
      </c>
      <c r="CS51">
        <v>10.177</v>
      </c>
      <c r="CT51">
        <v>10.837</v>
      </c>
      <c r="CU51">
        <v>10.961</v>
      </c>
      <c r="CW51" s="52">
        <v>11.6</v>
      </c>
      <c r="CX51">
        <v>1.198</v>
      </c>
      <c r="CY51">
        <v>2.4060000000000001</v>
      </c>
      <c r="CZ51">
        <v>2.8919999999999999</v>
      </c>
      <c r="DA51">
        <v>4.8630000000000004</v>
      </c>
      <c r="DB51">
        <v>7.0460000000000003</v>
      </c>
      <c r="DC51">
        <v>8.9130000000000003</v>
      </c>
      <c r="DD51">
        <v>10.188000000000001</v>
      </c>
      <c r="DE51">
        <v>10.848000000000001</v>
      </c>
      <c r="DF51">
        <v>10.967000000000001</v>
      </c>
    </row>
    <row r="52" spans="2:110" ht="15" x14ac:dyDescent="0.35">
      <c r="B52" s="54" t="s">
        <v>46</v>
      </c>
      <c r="C52" s="52" t="s">
        <v>13</v>
      </c>
      <c r="D52" s="52" t="s">
        <v>14</v>
      </c>
      <c r="E52" s="52" t="s">
        <v>15</v>
      </c>
      <c r="F52" s="52" t="s">
        <v>16</v>
      </c>
      <c r="G52" s="52" t="s">
        <v>17</v>
      </c>
      <c r="H52" s="52" t="s">
        <v>18</v>
      </c>
      <c r="J52">
        <v>5.5</v>
      </c>
      <c r="K52">
        <v>26129</v>
      </c>
      <c r="L52">
        <v>15085</v>
      </c>
      <c r="M52">
        <v>100.62</v>
      </c>
      <c r="N52">
        <v>2.85</v>
      </c>
      <c r="O52">
        <v>99.19</v>
      </c>
      <c r="P52">
        <v>18.18</v>
      </c>
      <c r="Q52">
        <v>579.4</v>
      </c>
      <c r="R52">
        <v>51.2</v>
      </c>
      <c r="S52">
        <v>0.78100000000000003</v>
      </c>
      <c r="T52">
        <v>4996</v>
      </c>
      <c r="U52">
        <v>6418</v>
      </c>
      <c r="W52" s="39">
        <v>9.375</v>
      </c>
      <c r="X52">
        <v>8.4</v>
      </c>
      <c r="Y52">
        <v>7186.6</v>
      </c>
      <c r="Z52">
        <v>22749</v>
      </c>
      <c r="AA52">
        <v>158.69</v>
      </c>
      <c r="AB52">
        <v>6.71</v>
      </c>
      <c r="AD52">
        <v>9.5749999999999993</v>
      </c>
      <c r="AE52">
        <v>8.4</v>
      </c>
      <c r="AF52">
        <v>7808.4</v>
      </c>
      <c r="AG52">
        <v>27604</v>
      </c>
      <c r="AH52">
        <v>130.02000000000001</v>
      </c>
      <c r="AI52">
        <v>6.77</v>
      </c>
      <c r="AK52">
        <v>9.5749999999999993</v>
      </c>
      <c r="AL52">
        <v>8.4</v>
      </c>
      <c r="AM52">
        <v>7809.5</v>
      </c>
      <c r="AN52">
        <v>27610</v>
      </c>
      <c r="AO52">
        <v>101.22</v>
      </c>
      <c r="AP52">
        <v>6.77</v>
      </c>
      <c r="AR52">
        <v>9.5749999999999993</v>
      </c>
      <c r="AS52">
        <v>8.4</v>
      </c>
      <c r="AT52">
        <v>7808.4</v>
      </c>
      <c r="AU52">
        <v>27604</v>
      </c>
      <c r="AV52">
        <v>72.42</v>
      </c>
      <c r="AW52">
        <v>6.77</v>
      </c>
      <c r="AY52">
        <v>9.5749999999999993</v>
      </c>
      <c r="AZ52">
        <v>8.4</v>
      </c>
      <c r="BA52">
        <v>7461.6</v>
      </c>
      <c r="BB52">
        <v>27609</v>
      </c>
      <c r="BC52">
        <v>43.52</v>
      </c>
      <c r="BD52">
        <v>7.04</v>
      </c>
      <c r="BF52" s="52">
        <v>11.7</v>
      </c>
      <c r="BG52">
        <v>77975</v>
      </c>
      <c r="BH52">
        <v>76656</v>
      </c>
      <c r="BI52">
        <v>75336</v>
      </c>
      <c r="BJ52">
        <v>74017</v>
      </c>
      <c r="BK52">
        <v>72698</v>
      </c>
      <c r="BL52">
        <v>71378</v>
      </c>
      <c r="BM52">
        <v>70059</v>
      </c>
      <c r="BN52">
        <v>68740</v>
      </c>
      <c r="BO52">
        <v>67421</v>
      </c>
      <c r="BP52">
        <v>66101</v>
      </c>
      <c r="BQ52">
        <v>64262</v>
      </c>
      <c r="BR52">
        <v>62936</v>
      </c>
      <c r="BS52">
        <v>61610</v>
      </c>
      <c r="BT52">
        <v>60284</v>
      </c>
      <c r="BU52">
        <v>58958</v>
      </c>
      <c r="BV52">
        <v>57632</v>
      </c>
      <c r="BW52">
        <v>56306</v>
      </c>
      <c r="BX52">
        <v>54980</v>
      </c>
      <c r="BY52">
        <v>53654</v>
      </c>
      <c r="BZ52">
        <v>52328</v>
      </c>
      <c r="CA52">
        <v>51001</v>
      </c>
      <c r="CB52">
        <v>49675</v>
      </c>
      <c r="CC52">
        <v>48349</v>
      </c>
      <c r="CD52">
        <v>47023</v>
      </c>
      <c r="CE52">
        <v>45697</v>
      </c>
      <c r="CF52">
        <v>44371</v>
      </c>
      <c r="CG52">
        <v>43045</v>
      </c>
      <c r="CH52">
        <v>41719</v>
      </c>
      <c r="CI52">
        <v>40393</v>
      </c>
      <c r="CJ52">
        <v>39067</v>
      </c>
      <c r="CL52" s="52">
        <v>11.7</v>
      </c>
      <c r="CM52">
        <v>1.1919999999999999</v>
      </c>
      <c r="CN52">
        <v>2.3940000000000001</v>
      </c>
      <c r="CO52">
        <v>2.8780000000000001</v>
      </c>
      <c r="CP52">
        <v>4.8419999999999996</v>
      </c>
      <c r="CQ52">
        <v>7.0030000000000001</v>
      </c>
      <c r="CR52">
        <v>8.8710000000000004</v>
      </c>
      <c r="CS52">
        <v>10.147</v>
      </c>
      <c r="CT52">
        <v>10.811999999999999</v>
      </c>
      <c r="CU52">
        <v>10.948</v>
      </c>
      <c r="CW52" s="52">
        <v>11.7</v>
      </c>
      <c r="CX52">
        <v>1.1970000000000001</v>
      </c>
      <c r="CY52">
        <v>2.4039999999999999</v>
      </c>
      <c r="CZ52">
        <v>2.89</v>
      </c>
      <c r="DA52">
        <v>4.859</v>
      </c>
      <c r="DB52">
        <v>7.0179999999999998</v>
      </c>
      <c r="DC52">
        <v>8.8819999999999997</v>
      </c>
      <c r="DD52">
        <v>10.157</v>
      </c>
      <c r="DE52">
        <v>10.823</v>
      </c>
      <c r="DF52">
        <v>10.954000000000001</v>
      </c>
    </row>
    <row r="53" spans="2:110" ht="15" x14ac:dyDescent="0.35">
      <c r="B53" s="52" t="s">
        <v>47</v>
      </c>
      <c r="C53" s="1">
        <v>433.9</v>
      </c>
      <c r="D53" s="1">
        <v>425.3</v>
      </c>
      <c r="E53" s="1">
        <v>23.89</v>
      </c>
      <c r="F53" s="1">
        <v>-9.91</v>
      </c>
      <c r="G53" s="1">
        <v>12.56</v>
      </c>
      <c r="H53" s="1">
        <v>355</v>
      </c>
      <c r="J53">
        <v>5.6</v>
      </c>
      <c r="K53">
        <v>26641</v>
      </c>
      <c r="L53">
        <v>15597</v>
      </c>
      <c r="M53">
        <v>100.59</v>
      </c>
      <c r="N53">
        <v>2.9</v>
      </c>
      <c r="O53">
        <v>99.11</v>
      </c>
      <c r="P53">
        <v>17.98</v>
      </c>
      <c r="Q53">
        <v>582.1</v>
      </c>
      <c r="R53">
        <v>51.3</v>
      </c>
      <c r="S53">
        <v>0.78200000000000003</v>
      </c>
      <c r="T53">
        <v>5004</v>
      </c>
      <c r="U53">
        <v>6459</v>
      </c>
      <c r="W53" s="39">
        <v>9.1750000000000007</v>
      </c>
      <c r="X53">
        <v>8.6</v>
      </c>
      <c r="Y53">
        <v>7024.4</v>
      </c>
      <c r="Z53">
        <v>22954</v>
      </c>
      <c r="AA53">
        <v>158.69</v>
      </c>
      <c r="AB53">
        <v>6.6</v>
      </c>
      <c r="AD53">
        <v>9.375</v>
      </c>
      <c r="AE53">
        <v>8.6</v>
      </c>
      <c r="AF53">
        <v>7637.4</v>
      </c>
      <c r="AG53">
        <v>27954</v>
      </c>
      <c r="AH53">
        <v>130.01</v>
      </c>
      <c r="AI53">
        <v>6.67</v>
      </c>
      <c r="AK53">
        <v>9.375</v>
      </c>
      <c r="AL53">
        <v>8.6</v>
      </c>
      <c r="AM53">
        <v>7638.4</v>
      </c>
      <c r="AN53">
        <v>27960</v>
      </c>
      <c r="AO53">
        <v>101.22</v>
      </c>
      <c r="AP53">
        <v>6.67</v>
      </c>
      <c r="AR53">
        <v>9.375</v>
      </c>
      <c r="AS53">
        <v>8.6</v>
      </c>
      <c r="AT53">
        <v>7637.4</v>
      </c>
      <c r="AU53">
        <v>27954</v>
      </c>
      <c r="AV53">
        <v>72.42</v>
      </c>
      <c r="AW53">
        <v>6.67</v>
      </c>
      <c r="AY53">
        <v>9.375</v>
      </c>
      <c r="AZ53">
        <v>8.6</v>
      </c>
      <c r="BA53">
        <v>7279.2</v>
      </c>
      <c r="BB53">
        <v>27790</v>
      </c>
      <c r="BC53">
        <v>43.54</v>
      </c>
      <c r="BD53">
        <v>6.94</v>
      </c>
      <c r="BF53" s="52">
        <v>11.8</v>
      </c>
      <c r="BG53">
        <v>78605</v>
      </c>
      <c r="BH53">
        <v>77273</v>
      </c>
      <c r="BI53">
        <v>75941</v>
      </c>
      <c r="BJ53">
        <v>74610</v>
      </c>
      <c r="BK53">
        <v>73278</v>
      </c>
      <c r="BL53">
        <v>71946</v>
      </c>
      <c r="BM53">
        <v>70614</v>
      </c>
      <c r="BN53">
        <v>69282</v>
      </c>
      <c r="BO53">
        <v>67950</v>
      </c>
      <c r="BP53">
        <v>66619</v>
      </c>
      <c r="BQ53">
        <v>65286</v>
      </c>
      <c r="BR53">
        <v>63954</v>
      </c>
      <c r="BS53">
        <v>62622</v>
      </c>
      <c r="BT53">
        <v>61290</v>
      </c>
      <c r="BU53">
        <v>59457</v>
      </c>
      <c r="BV53">
        <v>58118</v>
      </c>
      <c r="BW53">
        <v>56780</v>
      </c>
      <c r="BX53">
        <v>55441</v>
      </c>
      <c r="BY53">
        <v>54102</v>
      </c>
      <c r="BZ53">
        <v>52763</v>
      </c>
      <c r="CA53">
        <v>51424</v>
      </c>
      <c r="CB53">
        <v>50086</v>
      </c>
      <c r="CC53">
        <v>48747</v>
      </c>
      <c r="CD53">
        <v>47408</v>
      </c>
      <c r="CE53">
        <v>46069</v>
      </c>
      <c r="CF53">
        <v>44730</v>
      </c>
      <c r="CG53">
        <v>43391</v>
      </c>
      <c r="CH53">
        <v>42053</v>
      </c>
      <c r="CI53">
        <v>40714</v>
      </c>
      <c r="CJ53">
        <v>39375</v>
      </c>
      <c r="CL53" s="52">
        <v>11.8</v>
      </c>
      <c r="CM53">
        <v>1.1910000000000001</v>
      </c>
      <c r="CN53">
        <v>2.3929999999999998</v>
      </c>
      <c r="CO53">
        <v>2.8769999999999998</v>
      </c>
      <c r="CP53">
        <v>4.8380000000000001</v>
      </c>
      <c r="CQ53">
        <v>6.976</v>
      </c>
      <c r="CR53">
        <v>8.84</v>
      </c>
      <c r="CS53">
        <v>10.117000000000001</v>
      </c>
      <c r="CT53">
        <v>10.788</v>
      </c>
      <c r="CU53">
        <v>10.935</v>
      </c>
      <c r="CW53" s="52">
        <v>11.8</v>
      </c>
      <c r="CX53">
        <v>1.196</v>
      </c>
      <c r="CY53">
        <v>2.403</v>
      </c>
      <c r="CZ53">
        <v>2.8889999999999998</v>
      </c>
      <c r="DA53">
        <v>4.8540000000000001</v>
      </c>
      <c r="DB53">
        <v>6.99</v>
      </c>
      <c r="DC53">
        <v>8.85</v>
      </c>
      <c r="DD53">
        <v>10.127000000000001</v>
      </c>
      <c r="DE53">
        <v>10.798999999999999</v>
      </c>
      <c r="DF53">
        <v>10.941000000000001</v>
      </c>
    </row>
    <row r="54" spans="2:110" ht="15" x14ac:dyDescent="0.35">
      <c r="B54" s="52" t="s">
        <v>48</v>
      </c>
      <c r="C54" s="1">
        <v>343.4</v>
      </c>
      <c r="D54" s="1">
        <v>336.5</v>
      </c>
      <c r="E54" s="1">
        <v>24.07</v>
      </c>
      <c r="F54" s="1">
        <v>10.62</v>
      </c>
      <c r="G54" s="1">
        <v>12.31</v>
      </c>
      <c r="H54" s="1">
        <v>211</v>
      </c>
      <c r="J54">
        <v>5.7</v>
      </c>
      <c r="K54">
        <v>27155</v>
      </c>
      <c r="L54">
        <v>16111</v>
      </c>
      <c r="M54">
        <v>100.56</v>
      </c>
      <c r="N54">
        <v>2.95</v>
      </c>
      <c r="O54">
        <v>99.02</v>
      </c>
      <c r="P54">
        <v>17.78</v>
      </c>
      <c r="Q54">
        <v>584.79999999999995</v>
      </c>
      <c r="R54">
        <v>51.4</v>
      </c>
      <c r="S54">
        <v>0.78300000000000003</v>
      </c>
      <c r="T54">
        <v>5013</v>
      </c>
      <c r="U54">
        <v>6500</v>
      </c>
      <c r="W54" s="39">
        <v>8.9749999999999996</v>
      </c>
      <c r="X54">
        <v>8.8000000000000007</v>
      </c>
      <c r="Y54">
        <v>6862.2</v>
      </c>
      <c r="Z54">
        <v>23143</v>
      </c>
      <c r="AA54">
        <v>158.69</v>
      </c>
      <c r="AB54">
        <v>6.5</v>
      </c>
      <c r="AD54">
        <v>9.1750000000000007</v>
      </c>
      <c r="AE54">
        <v>8.8000000000000007</v>
      </c>
      <c r="AF54">
        <v>7466.3</v>
      </c>
      <c r="AG54">
        <v>28285</v>
      </c>
      <c r="AH54">
        <v>130.01</v>
      </c>
      <c r="AI54">
        <v>6.57</v>
      </c>
      <c r="AK54">
        <v>9.1750000000000007</v>
      </c>
      <c r="AL54">
        <v>8.8000000000000007</v>
      </c>
      <c r="AM54">
        <v>7467.3</v>
      </c>
      <c r="AN54">
        <v>28291</v>
      </c>
      <c r="AO54">
        <v>101.22</v>
      </c>
      <c r="AP54">
        <v>6.57</v>
      </c>
      <c r="AR54">
        <v>9.1750000000000007</v>
      </c>
      <c r="AS54">
        <v>8.8000000000000007</v>
      </c>
      <c r="AT54">
        <v>7466.4</v>
      </c>
      <c r="AU54">
        <v>28285</v>
      </c>
      <c r="AV54">
        <v>72.42</v>
      </c>
      <c r="AW54">
        <v>6.57</v>
      </c>
      <c r="AY54">
        <v>9.1750000000000007</v>
      </c>
      <c r="AZ54">
        <v>8.8000000000000007</v>
      </c>
      <c r="BA54">
        <v>7096.9</v>
      </c>
      <c r="BB54">
        <v>27946</v>
      </c>
      <c r="BC54">
        <v>43.56</v>
      </c>
      <c r="BD54">
        <v>6.83</v>
      </c>
      <c r="BF54" s="52">
        <v>11.9</v>
      </c>
      <c r="BG54">
        <v>79239</v>
      </c>
      <c r="BH54">
        <v>77895</v>
      </c>
      <c r="BI54">
        <v>76550</v>
      </c>
      <c r="BJ54">
        <v>75206</v>
      </c>
      <c r="BK54">
        <v>73861</v>
      </c>
      <c r="BL54">
        <v>72517</v>
      </c>
      <c r="BM54">
        <v>71173</v>
      </c>
      <c r="BN54">
        <v>69828</v>
      </c>
      <c r="BO54">
        <v>68484</v>
      </c>
      <c r="BP54">
        <v>67140</v>
      </c>
      <c r="BQ54">
        <v>65795</v>
      </c>
      <c r="BR54">
        <v>64450</v>
      </c>
      <c r="BS54">
        <v>63106</v>
      </c>
      <c r="BT54">
        <v>61761</v>
      </c>
      <c r="BU54">
        <v>60417</v>
      </c>
      <c r="BV54">
        <v>59073</v>
      </c>
      <c r="BW54">
        <v>57728</v>
      </c>
      <c r="BX54">
        <v>56384</v>
      </c>
      <c r="BY54">
        <v>55040</v>
      </c>
      <c r="BZ54">
        <v>53223</v>
      </c>
      <c r="CA54">
        <v>51871</v>
      </c>
      <c r="CB54">
        <v>50520</v>
      </c>
      <c r="CC54">
        <v>49169</v>
      </c>
      <c r="CD54">
        <v>47820</v>
      </c>
      <c r="CE54">
        <v>46473</v>
      </c>
      <c r="CF54">
        <v>45127</v>
      </c>
      <c r="CG54">
        <v>43781</v>
      </c>
      <c r="CH54">
        <v>42435</v>
      </c>
      <c r="CI54">
        <v>41090</v>
      </c>
      <c r="CJ54">
        <v>39744</v>
      </c>
      <c r="CL54" s="52">
        <v>11.9</v>
      </c>
      <c r="CM54">
        <v>1.1910000000000001</v>
      </c>
      <c r="CN54">
        <v>2.3919999999999999</v>
      </c>
      <c r="CO54">
        <v>2.8759999999999999</v>
      </c>
      <c r="CP54">
        <v>4.8339999999999996</v>
      </c>
      <c r="CQ54">
        <v>6.95</v>
      </c>
      <c r="CR54">
        <v>8.8089999999999993</v>
      </c>
      <c r="CS54">
        <v>10.087</v>
      </c>
      <c r="CT54">
        <v>10.763999999999999</v>
      </c>
      <c r="CU54">
        <v>10.922000000000001</v>
      </c>
      <c r="CW54" s="52">
        <v>11.9</v>
      </c>
      <c r="CX54">
        <v>1.196</v>
      </c>
      <c r="CY54">
        <v>2.4020000000000001</v>
      </c>
      <c r="CZ54">
        <v>2.887</v>
      </c>
      <c r="DA54">
        <v>4.8490000000000002</v>
      </c>
      <c r="DB54">
        <v>6.9630000000000001</v>
      </c>
      <c r="DC54">
        <v>8.8190000000000008</v>
      </c>
      <c r="DD54">
        <v>10.096</v>
      </c>
      <c r="DE54">
        <v>10.773999999999999</v>
      </c>
      <c r="DF54">
        <v>10.928000000000001</v>
      </c>
    </row>
    <row r="55" spans="2:110" ht="15" x14ac:dyDescent="0.35">
      <c r="B55" s="52" t="s">
        <v>49</v>
      </c>
      <c r="C55" s="1">
        <v>533.20000000000005</v>
      </c>
      <c r="D55" s="1">
        <v>522.5</v>
      </c>
      <c r="E55" s="1">
        <v>17.920000000000002</v>
      </c>
      <c r="F55" s="1">
        <v>-9.4600000000000009</v>
      </c>
      <c r="G55" s="1">
        <v>12.38</v>
      </c>
      <c r="H55" s="1">
        <v>592</v>
      </c>
      <c r="J55">
        <v>5.8</v>
      </c>
      <c r="K55">
        <v>27669</v>
      </c>
      <c r="L55">
        <v>16625</v>
      </c>
      <c r="M55">
        <v>100.53</v>
      </c>
      <c r="N55">
        <v>3</v>
      </c>
      <c r="O55">
        <v>98.92</v>
      </c>
      <c r="P55">
        <v>17.59</v>
      </c>
      <c r="Q55">
        <v>587.6</v>
      </c>
      <c r="R55">
        <v>51.5</v>
      </c>
      <c r="S55">
        <v>0.78400000000000003</v>
      </c>
      <c r="T55">
        <v>5022</v>
      </c>
      <c r="U55">
        <v>6542</v>
      </c>
      <c r="W55" s="39">
        <v>8.7750000000000004</v>
      </c>
      <c r="X55">
        <v>9</v>
      </c>
      <c r="Y55">
        <v>6700</v>
      </c>
      <c r="Z55">
        <v>23318</v>
      </c>
      <c r="AA55">
        <v>158.69</v>
      </c>
      <c r="AB55">
        <v>6.4</v>
      </c>
      <c r="AD55">
        <v>8.9749999999999996</v>
      </c>
      <c r="AE55">
        <v>9</v>
      </c>
      <c r="AF55">
        <v>7295.3</v>
      </c>
      <c r="AG55">
        <v>28596</v>
      </c>
      <c r="AH55">
        <v>130.01</v>
      </c>
      <c r="AI55">
        <v>6.47</v>
      </c>
      <c r="AK55">
        <v>8.9749999999999996</v>
      </c>
      <c r="AL55">
        <v>9</v>
      </c>
      <c r="AM55">
        <v>7296.3</v>
      </c>
      <c r="AN55">
        <v>28602</v>
      </c>
      <c r="AO55">
        <v>101.22</v>
      </c>
      <c r="AP55">
        <v>6.47</v>
      </c>
      <c r="AR55">
        <v>8.9749999999999996</v>
      </c>
      <c r="AS55">
        <v>9</v>
      </c>
      <c r="AT55">
        <v>7295.3</v>
      </c>
      <c r="AU55">
        <v>28596</v>
      </c>
      <c r="AV55">
        <v>72.42</v>
      </c>
      <c r="AW55">
        <v>6.47</v>
      </c>
      <c r="AY55">
        <v>8.9749999999999996</v>
      </c>
      <c r="AZ55">
        <v>9</v>
      </c>
      <c r="BA55">
        <v>6914.5</v>
      </c>
      <c r="BB55">
        <v>28078</v>
      </c>
      <c r="BC55">
        <v>43.58</v>
      </c>
      <c r="BD55">
        <v>6.72</v>
      </c>
      <c r="BF55" s="52">
        <v>12</v>
      </c>
      <c r="BG55">
        <v>79873</v>
      </c>
      <c r="BH55">
        <v>78516</v>
      </c>
      <c r="BI55">
        <v>77160</v>
      </c>
      <c r="BJ55">
        <v>75803</v>
      </c>
      <c r="BK55">
        <v>74446</v>
      </c>
      <c r="BL55">
        <v>73089</v>
      </c>
      <c r="BM55">
        <v>71732</v>
      </c>
      <c r="BN55">
        <v>70375</v>
      </c>
      <c r="BO55">
        <v>69018</v>
      </c>
      <c r="BP55">
        <v>67661</v>
      </c>
      <c r="BQ55">
        <v>66303</v>
      </c>
      <c r="BR55">
        <v>64946</v>
      </c>
      <c r="BS55">
        <v>63589</v>
      </c>
      <c r="BT55">
        <v>62233</v>
      </c>
      <c r="BU55">
        <v>60876</v>
      </c>
      <c r="BV55">
        <v>59519</v>
      </c>
      <c r="BW55">
        <v>58162</v>
      </c>
      <c r="BX55">
        <v>56805</v>
      </c>
      <c r="BY55">
        <v>55050</v>
      </c>
      <c r="BZ55">
        <v>53691</v>
      </c>
      <c r="CA55">
        <v>52331</v>
      </c>
      <c r="CB55">
        <v>50972</v>
      </c>
      <c r="CC55">
        <v>49613</v>
      </c>
      <c r="CD55">
        <v>48254</v>
      </c>
      <c r="CE55">
        <v>46895</v>
      </c>
      <c r="CF55">
        <v>45537</v>
      </c>
      <c r="CG55">
        <v>44178</v>
      </c>
      <c r="CH55">
        <v>42820</v>
      </c>
      <c r="CI55">
        <v>41461</v>
      </c>
      <c r="CJ55">
        <v>40103</v>
      </c>
      <c r="CL55" s="52">
        <v>12</v>
      </c>
      <c r="CM55">
        <v>1.19</v>
      </c>
      <c r="CN55">
        <v>2.391</v>
      </c>
      <c r="CO55">
        <v>2.875</v>
      </c>
      <c r="CP55">
        <v>4.8289999999999997</v>
      </c>
      <c r="CQ55">
        <v>6.9240000000000004</v>
      </c>
      <c r="CR55">
        <v>8.7780000000000005</v>
      </c>
      <c r="CS55">
        <v>10.055999999999999</v>
      </c>
      <c r="CT55">
        <v>10.739000000000001</v>
      </c>
      <c r="CU55">
        <v>10.909000000000001</v>
      </c>
      <c r="CW55" s="52">
        <v>12</v>
      </c>
      <c r="CX55">
        <v>1.1950000000000001</v>
      </c>
      <c r="CY55">
        <v>2.4009999999999998</v>
      </c>
      <c r="CZ55">
        <v>2.8860000000000001</v>
      </c>
      <c r="DA55">
        <v>4.8440000000000003</v>
      </c>
      <c r="DB55">
        <v>6.9370000000000003</v>
      </c>
      <c r="DC55">
        <v>8.7859999999999996</v>
      </c>
      <c r="DD55">
        <v>10.065</v>
      </c>
      <c r="DE55">
        <v>10.749000000000001</v>
      </c>
      <c r="DF55">
        <v>10.914999999999999</v>
      </c>
    </row>
    <row r="56" spans="2:110" ht="15" x14ac:dyDescent="0.35">
      <c r="B56" s="52" t="s">
        <v>50</v>
      </c>
      <c r="C56" s="1">
        <v>474.2</v>
      </c>
      <c r="D56" s="1">
        <v>464.7</v>
      </c>
      <c r="E56" s="1">
        <v>17.47</v>
      </c>
      <c r="F56" s="1">
        <v>9.93</v>
      </c>
      <c r="G56" s="1">
        <v>12.39</v>
      </c>
      <c r="H56" s="1">
        <v>494</v>
      </c>
      <c r="J56">
        <v>5.9</v>
      </c>
      <c r="K56">
        <v>28184</v>
      </c>
      <c r="L56">
        <v>17140</v>
      </c>
      <c r="M56">
        <v>100.5</v>
      </c>
      <c r="N56">
        <v>3.05</v>
      </c>
      <c r="O56">
        <v>98.83</v>
      </c>
      <c r="P56">
        <v>17.41</v>
      </c>
      <c r="Q56">
        <v>590.4</v>
      </c>
      <c r="R56">
        <v>51.6</v>
      </c>
      <c r="S56">
        <v>0.78500000000000003</v>
      </c>
      <c r="T56">
        <v>5030</v>
      </c>
      <c r="U56">
        <v>6583</v>
      </c>
      <c r="W56" s="39">
        <v>8.5749999999999993</v>
      </c>
      <c r="X56">
        <v>9.1999999999999993</v>
      </c>
      <c r="Y56">
        <v>6537.8</v>
      </c>
      <c r="Z56">
        <v>23480</v>
      </c>
      <c r="AA56">
        <v>158.69</v>
      </c>
      <c r="AB56">
        <v>6.3</v>
      </c>
      <c r="AD56">
        <v>8.7750000000000004</v>
      </c>
      <c r="AE56">
        <v>9.1999999999999993</v>
      </c>
      <c r="AF56">
        <v>7124.3</v>
      </c>
      <c r="AG56">
        <v>28886</v>
      </c>
      <c r="AH56">
        <v>130.01</v>
      </c>
      <c r="AI56">
        <v>6.37</v>
      </c>
      <c r="AK56">
        <v>8.7750000000000004</v>
      </c>
      <c r="AL56">
        <v>9.1999999999999993</v>
      </c>
      <c r="AM56">
        <v>7125.2</v>
      </c>
      <c r="AN56">
        <v>28892</v>
      </c>
      <c r="AO56">
        <v>101.22</v>
      </c>
      <c r="AP56">
        <v>6.37</v>
      </c>
      <c r="AR56">
        <v>8.7750000000000004</v>
      </c>
      <c r="AS56">
        <v>9.1999999999999993</v>
      </c>
      <c r="AT56">
        <v>7124.3</v>
      </c>
      <c r="AU56">
        <v>28886</v>
      </c>
      <c r="AV56">
        <v>72.42</v>
      </c>
      <c r="AW56">
        <v>6.37</v>
      </c>
      <c r="AY56">
        <v>8.7750000000000004</v>
      </c>
      <c r="AZ56">
        <v>9.1999999999999993</v>
      </c>
      <c r="BA56">
        <v>6732.2</v>
      </c>
      <c r="BB56">
        <v>28185</v>
      </c>
      <c r="BC56">
        <v>43.61</v>
      </c>
      <c r="BD56">
        <v>6.61</v>
      </c>
      <c r="BF56" s="52">
        <v>12.1</v>
      </c>
      <c r="BG56">
        <v>80507</v>
      </c>
      <c r="BH56">
        <v>79138</v>
      </c>
      <c r="BI56">
        <v>77768</v>
      </c>
      <c r="BJ56">
        <v>76399</v>
      </c>
      <c r="BK56">
        <v>75029</v>
      </c>
      <c r="BL56">
        <v>73660</v>
      </c>
      <c r="BM56">
        <v>72004</v>
      </c>
      <c r="BN56">
        <v>70629</v>
      </c>
      <c r="BO56">
        <v>69254</v>
      </c>
      <c r="BP56">
        <v>67880</v>
      </c>
      <c r="BQ56">
        <v>66504</v>
      </c>
      <c r="BR56">
        <v>65130</v>
      </c>
      <c r="BS56">
        <v>63755</v>
      </c>
      <c r="BT56">
        <v>62382</v>
      </c>
      <c r="BU56">
        <v>61010</v>
      </c>
      <c r="BV56">
        <v>59637</v>
      </c>
      <c r="BW56">
        <v>58264</v>
      </c>
      <c r="BX56">
        <v>56892</v>
      </c>
      <c r="BY56">
        <v>55519</v>
      </c>
      <c r="BZ56">
        <v>54147</v>
      </c>
      <c r="CA56">
        <v>52774</v>
      </c>
      <c r="CB56">
        <v>51401</v>
      </c>
      <c r="CC56">
        <v>50029</v>
      </c>
      <c r="CD56">
        <v>48656</v>
      </c>
      <c r="CE56">
        <v>47284</v>
      </c>
      <c r="CF56">
        <v>45912</v>
      </c>
      <c r="CG56">
        <v>44539</v>
      </c>
      <c r="CH56">
        <v>43167</v>
      </c>
      <c r="CI56">
        <v>41795</v>
      </c>
      <c r="CJ56">
        <v>40423</v>
      </c>
      <c r="CL56" s="52">
        <v>12.1</v>
      </c>
      <c r="CM56">
        <v>1.19</v>
      </c>
      <c r="CN56">
        <v>2.391</v>
      </c>
      <c r="CO56">
        <v>2.8740000000000001</v>
      </c>
      <c r="CP56">
        <v>4.8239999999999998</v>
      </c>
      <c r="CQ56">
        <v>6.899</v>
      </c>
      <c r="CR56">
        <v>8.7460000000000004</v>
      </c>
      <c r="CS56">
        <v>10.025</v>
      </c>
      <c r="CT56">
        <v>10.714</v>
      </c>
      <c r="CU56">
        <v>10.896000000000001</v>
      </c>
      <c r="CW56" s="52">
        <v>12.1</v>
      </c>
      <c r="CX56">
        <v>1.1950000000000001</v>
      </c>
      <c r="CY56">
        <v>2.4</v>
      </c>
      <c r="CZ56">
        <v>2.8839999999999999</v>
      </c>
      <c r="DA56">
        <v>4.8380000000000001</v>
      </c>
      <c r="DB56">
        <v>6.9109999999999996</v>
      </c>
      <c r="DC56">
        <v>8.7539999999999996</v>
      </c>
      <c r="DD56">
        <v>10.032999999999999</v>
      </c>
      <c r="DE56">
        <v>10.724</v>
      </c>
      <c r="DF56">
        <v>10.901999999999999</v>
      </c>
    </row>
    <row r="57" spans="2:110" ht="15" x14ac:dyDescent="0.35">
      <c r="B57" s="52" t="s">
        <v>51</v>
      </c>
      <c r="C57" s="1">
        <v>45.2</v>
      </c>
      <c r="D57" s="1">
        <v>44.3</v>
      </c>
      <c r="E57" s="1">
        <v>22.4</v>
      </c>
      <c r="F57" s="1">
        <v>7.19</v>
      </c>
      <c r="G57" s="1">
        <v>13.5</v>
      </c>
      <c r="H57" s="1">
        <v>4</v>
      </c>
      <c r="J57">
        <v>6</v>
      </c>
      <c r="K57">
        <v>28700</v>
      </c>
      <c r="L57">
        <v>17656</v>
      </c>
      <c r="M57">
        <v>100.47</v>
      </c>
      <c r="N57">
        <v>3.11</v>
      </c>
      <c r="O57">
        <v>98.73</v>
      </c>
      <c r="P57">
        <v>17.239999999999998</v>
      </c>
      <c r="Q57">
        <v>593.20000000000005</v>
      </c>
      <c r="R57">
        <v>51.7</v>
      </c>
      <c r="S57">
        <v>0.78600000000000003</v>
      </c>
      <c r="T57">
        <v>5039</v>
      </c>
      <c r="U57">
        <v>6624</v>
      </c>
      <c r="W57" s="39">
        <v>8.375</v>
      </c>
      <c r="X57">
        <v>9.4</v>
      </c>
      <c r="Y57">
        <v>6375.6</v>
      </c>
      <c r="Z57">
        <v>23631</v>
      </c>
      <c r="AA57">
        <v>158.69</v>
      </c>
      <c r="AB57">
        <v>6.2</v>
      </c>
      <c r="AD57">
        <v>8.5749999999999993</v>
      </c>
      <c r="AE57">
        <v>9.4</v>
      </c>
      <c r="AF57">
        <v>6953.2</v>
      </c>
      <c r="AG57">
        <v>29160</v>
      </c>
      <c r="AH57">
        <v>130.01</v>
      </c>
      <c r="AI57">
        <v>6.27</v>
      </c>
      <c r="AK57">
        <v>8.5749999999999993</v>
      </c>
      <c r="AL57">
        <v>9.4</v>
      </c>
      <c r="AM57">
        <v>6954.1</v>
      </c>
      <c r="AN57">
        <v>29166</v>
      </c>
      <c r="AO57">
        <v>101.22</v>
      </c>
      <c r="AP57">
        <v>6.27</v>
      </c>
      <c r="AR57">
        <v>8.5749999999999993</v>
      </c>
      <c r="AS57">
        <v>9.4</v>
      </c>
      <c r="AT57">
        <v>6953.3</v>
      </c>
      <c r="AU57">
        <v>29160</v>
      </c>
      <c r="AV57">
        <v>72.42</v>
      </c>
      <c r="AW57">
        <v>6.27</v>
      </c>
      <c r="AY57">
        <v>8.5749999999999993</v>
      </c>
      <c r="AZ57">
        <v>9.4</v>
      </c>
      <c r="BA57">
        <v>6550</v>
      </c>
      <c r="BB57">
        <v>28265</v>
      </c>
      <c r="BC57">
        <v>43.63</v>
      </c>
      <c r="BD57">
        <v>6.5</v>
      </c>
      <c r="BF57" s="52">
        <v>12.2</v>
      </c>
      <c r="BG57">
        <v>81140</v>
      </c>
      <c r="BH57">
        <v>79758</v>
      </c>
      <c r="BI57">
        <v>78376</v>
      </c>
      <c r="BJ57">
        <v>76994</v>
      </c>
      <c r="BK57">
        <v>75612</v>
      </c>
      <c r="BL57">
        <v>74011</v>
      </c>
      <c r="BM57">
        <v>72623</v>
      </c>
      <c r="BN57">
        <v>71235</v>
      </c>
      <c r="BO57">
        <v>69848</v>
      </c>
      <c r="BP57">
        <v>68460</v>
      </c>
      <c r="BQ57">
        <v>67072</v>
      </c>
      <c r="BR57">
        <v>65685</v>
      </c>
      <c r="BS57">
        <v>64299</v>
      </c>
      <c r="BT57">
        <v>62914</v>
      </c>
      <c r="BU57">
        <v>61528</v>
      </c>
      <c r="BV57">
        <v>60142</v>
      </c>
      <c r="BW57">
        <v>58756</v>
      </c>
      <c r="BX57">
        <v>57370</v>
      </c>
      <c r="BY57">
        <v>55984</v>
      </c>
      <c r="BZ57">
        <v>54598</v>
      </c>
      <c r="CA57">
        <v>53211</v>
      </c>
      <c r="CB57">
        <v>51825</v>
      </c>
      <c r="CC57">
        <v>50439</v>
      </c>
      <c r="CD57">
        <v>49053</v>
      </c>
      <c r="CE57">
        <v>47667</v>
      </c>
      <c r="CF57">
        <v>46281</v>
      </c>
      <c r="CG57">
        <v>44895</v>
      </c>
      <c r="CH57">
        <v>43509</v>
      </c>
      <c r="CI57">
        <v>42123</v>
      </c>
      <c r="CJ57">
        <v>40737</v>
      </c>
      <c r="CL57" s="52">
        <v>12.2</v>
      </c>
      <c r="CM57">
        <v>1.19</v>
      </c>
      <c r="CN57">
        <v>2.39</v>
      </c>
      <c r="CO57">
        <v>2.8730000000000002</v>
      </c>
      <c r="CP57">
        <v>4.8179999999999996</v>
      </c>
      <c r="CQ57">
        <v>6.875</v>
      </c>
      <c r="CR57">
        <v>8.7140000000000004</v>
      </c>
      <c r="CS57">
        <v>9.9939999999999998</v>
      </c>
      <c r="CT57">
        <v>10.689</v>
      </c>
      <c r="CU57">
        <v>10.882999999999999</v>
      </c>
      <c r="CW57" s="52">
        <v>12.2</v>
      </c>
      <c r="CX57">
        <v>1.194</v>
      </c>
      <c r="CY57">
        <v>2.399</v>
      </c>
      <c r="CZ57">
        <v>2.8839999999999999</v>
      </c>
      <c r="DA57">
        <v>4.8310000000000004</v>
      </c>
      <c r="DB57">
        <v>6.8849999999999998</v>
      </c>
      <c r="DC57">
        <v>8.7219999999999995</v>
      </c>
      <c r="DD57">
        <v>10.002000000000001</v>
      </c>
      <c r="DE57">
        <v>10.698</v>
      </c>
      <c r="DF57">
        <v>10.888999999999999</v>
      </c>
    </row>
    <row r="58" spans="2:110" ht="15" x14ac:dyDescent="0.35">
      <c r="B58" s="52" t="s">
        <v>52</v>
      </c>
      <c r="C58" s="1">
        <v>45.2</v>
      </c>
      <c r="D58" s="1">
        <v>44.3</v>
      </c>
      <c r="E58" s="1">
        <v>20.8</v>
      </c>
      <c r="F58" s="1">
        <v>7.19</v>
      </c>
      <c r="G58" s="1">
        <v>13.5</v>
      </c>
      <c r="H58" s="1">
        <v>4</v>
      </c>
      <c r="J58">
        <v>6.1</v>
      </c>
      <c r="K58">
        <v>29217</v>
      </c>
      <c r="L58">
        <v>18173</v>
      </c>
      <c r="M58">
        <v>100.44</v>
      </c>
      <c r="N58">
        <v>3.16</v>
      </c>
      <c r="O58">
        <v>98.63</v>
      </c>
      <c r="P58">
        <v>17.079999999999998</v>
      </c>
      <c r="Q58">
        <v>596</v>
      </c>
      <c r="R58">
        <v>51.7</v>
      </c>
      <c r="S58">
        <v>0.78800000000000003</v>
      </c>
      <c r="T58">
        <v>5048</v>
      </c>
      <c r="U58">
        <v>6666</v>
      </c>
      <c r="W58" s="39">
        <v>8.1750000000000007</v>
      </c>
      <c r="X58">
        <v>9.6</v>
      </c>
      <c r="Y58">
        <v>6213.4</v>
      </c>
      <c r="Z58">
        <v>23766</v>
      </c>
      <c r="AA58">
        <v>158.69</v>
      </c>
      <c r="AB58">
        <v>6.1</v>
      </c>
      <c r="AD58">
        <v>8.375</v>
      </c>
      <c r="AE58">
        <v>9.6</v>
      </c>
      <c r="AF58">
        <v>6782.2</v>
      </c>
      <c r="AG58">
        <v>29417</v>
      </c>
      <c r="AH58">
        <v>130.01</v>
      </c>
      <c r="AI58">
        <v>6.16</v>
      </c>
      <c r="AK58">
        <v>8.375</v>
      </c>
      <c r="AL58">
        <v>9.6</v>
      </c>
      <c r="AM58">
        <v>6783</v>
      </c>
      <c r="AN58">
        <v>29423</v>
      </c>
      <c r="AO58">
        <v>101.22</v>
      </c>
      <c r="AP58">
        <v>6.16</v>
      </c>
      <c r="AR58">
        <v>8.375</v>
      </c>
      <c r="AS58">
        <v>9.6</v>
      </c>
      <c r="AT58">
        <v>6782.2</v>
      </c>
      <c r="AU58">
        <v>29417</v>
      </c>
      <c r="AV58">
        <v>72.42</v>
      </c>
      <c r="AW58">
        <v>6.16</v>
      </c>
      <c r="AY58">
        <v>8.375</v>
      </c>
      <c r="AZ58">
        <v>9.6</v>
      </c>
      <c r="BA58">
        <v>6367.8</v>
      </c>
      <c r="BB58">
        <v>28315</v>
      </c>
      <c r="BC58">
        <v>43.66</v>
      </c>
      <c r="BD58">
        <v>6.4</v>
      </c>
      <c r="BF58" s="52">
        <v>12.3</v>
      </c>
      <c r="BG58">
        <v>81911</v>
      </c>
      <c r="BH58">
        <v>80510</v>
      </c>
      <c r="BI58">
        <v>79108</v>
      </c>
      <c r="BJ58">
        <v>77707</v>
      </c>
      <c r="BK58">
        <v>76306</v>
      </c>
      <c r="BL58">
        <v>74904</v>
      </c>
      <c r="BM58">
        <v>73503</v>
      </c>
      <c r="BN58">
        <v>72101</v>
      </c>
      <c r="BO58">
        <v>70700</v>
      </c>
      <c r="BP58">
        <v>69298</v>
      </c>
      <c r="BQ58">
        <v>67897</v>
      </c>
      <c r="BR58">
        <v>66496</v>
      </c>
      <c r="BS58">
        <v>65100</v>
      </c>
      <c r="BT58">
        <v>63703</v>
      </c>
      <c r="BU58">
        <v>62046</v>
      </c>
      <c r="BV58">
        <v>60646</v>
      </c>
      <c r="BW58">
        <v>59247</v>
      </c>
      <c r="BX58">
        <v>57848</v>
      </c>
      <c r="BY58">
        <v>56448</v>
      </c>
      <c r="BZ58">
        <v>55048</v>
      </c>
      <c r="CA58">
        <v>53648</v>
      </c>
      <c r="CB58">
        <v>52248</v>
      </c>
      <c r="CC58">
        <v>50849</v>
      </c>
      <c r="CD58">
        <v>49449</v>
      </c>
      <c r="CE58">
        <v>48049</v>
      </c>
      <c r="CF58">
        <v>46649</v>
      </c>
      <c r="CG58">
        <v>45250</v>
      </c>
      <c r="CH58">
        <v>43850</v>
      </c>
      <c r="CI58">
        <v>42450</v>
      </c>
      <c r="CJ58">
        <v>41050</v>
      </c>
      <c r="CL58" s="52">
        <v>12.3</v>
      </c>
      <c r="CM58">
        <v>1.19</v>
      </c>
      <c r="CN58">
        <v>2.39</v>
      </c>
      <c r="CO58">
        <v>2.8730000000000002</v>
      </c>
      <c r="CP58">
        <v>4.8109999999999999</v>
      </c>
      <c r="CQ58">
        <v>6.851</v>
      </c>
      <c r="CR58">
        <v>8.6829999999999998</v>
      </c>
      <c r="CS58">
        <v>9.9619999999999997</v>
      </c>
      <c r="CT58">
        <v>10.664</v>
      </c>
      <c r="CU58">
        <v>10.869</v>
      </c>
      <c r="CW58" s="52">
        <v>12.3</v>
      </c>
      <c r="CX58">
        <v>1.194</v>
      </c>
      <c r="CY58">
        <v>2.3980000000000001</v>
      </c>
      <c r="CZ58">
        <v>2.883</v>
      </c>
      <c r="DA58">
        <v>4.8230000000000004</v>
      </c>
      <c r="DB58">
        <v>6.86</v>
      </c>
      <c r="DC58">
        <v>8.6890000000000001</v>
      </c>
      <c r="DD58">
        <v>9.9700000000000006</v>
      </c>
      <c r="DE58">
        <v>10.673</v>
      </c>
      <c r="DF58">
        <v>10.875999999999999</v>
      </c>
    </row>
    <row r="59" spans="2:110" ht="15" x14ac:dyDescent="0.35">
      <c r="B59" s="52" t="s">
        <v>53</v>
      </c>
      <c r="C59" s="1">
        <v>45.2</v>
      </c>
      <c r="D59" s="1">
        <v>44.3</v>
      </c>
      <c r="E59" s="1">
        <v>24</v>
      </c>
      <c r="F59" s="1">
        <v>7.19</v>
      </c>
      <c r="G59" s="1">
        <v>13.5</v>
      </c>
      <c r="H59" s="1">
        <v>4</v>
      </c>
      <c r="J59">
        <v>6.2</v>
      </c>
      <c r="K59">
        <v>29735</v>
      </c>
      <c r="L59">
        <v>18691</v>
      </c>
      <c r="M59">
        <v>100.41</v>
      </c>
      <c r="N59">
        <v>3.21</v>
      </c>
      <c r="O59">
        <v>98.27</v>
      </c>
      <c r="P59">
        <v>16.97</v>
      </c>
      <c r="Q59">
        <v>604.20000000000005</v>
      </c>
      <c r="R59">
        <v>52</v>
      </c>
      <c r="S59">
        <v>0.78900000000000003</v>
      </c>
      <c r="T59">
        <v>5074</v>
      </c>
      <c r="U59">
        <v>6725</v>
      </c>
      <c r="W59" s="39">
        <v>7.9749999999999996</v>
      </c>
      <c r="X59">
        <v>9.8000000000000007</v>
      </c>
      <c r="Y59">
        <v>6051.2</v>
      </c>
      <c r="Z59">
        <v>23881</v>
      </c>
      <c r="AA59">
        <v>158.68</v>
      </c>
      <c r="AB59">
        <v>5.99</v>
      </c>
      <c r="AD59">
        <v>8.1750000000000007</v>
      </c>
      <c r="AE59">
        <v>9.8000000000000007</v>
      </c>
      <c r="AF59">
        <v>6611.2</v>
      </c>
      <c r="AG59">
        <v>29649</v>
      </c>
      <c r="AH59">
        <v>130.01</v>
      </c>
      <c r="AI59">
        <v>6.06</v>
      </c>
      <c r="AK59">
        <v>8.1750000000000007</v>
      </c>
      <c r="AL59">
        <v>9.8000000000000007</v>
      </c>
      <c r="AM59">
        <v>6612</v>
      </c>
      <c r="AN59">
        <v>29655</v>
      </c>
      <c r="AO59">
        <v>101.22</v>
      </c>
      <c r="AP59">
        <v>6.06</v>
      </c>
      <c r="AR59">
        <v>8.1750000000000007</v>
      </c>
      <c r="AS59">
        <v>9.8000000000000007</v>
      </c>
      <c r="AT59">
        <v>6611.2</v>
      </c>
      <c r="AU59">
        <v>29649</v>
      </c>
      <c r="AV59">
        <v>72.42</v>
      </c>
      <c r="AW59">
        <v>6.06</v>
      </c>
      <c r="AY59">
        <v>8.1750000000000007</v>
      </c>
      <c r="AZ59">
        <v>9.8000000000000007</v>
      </c>
      <c r="BA59">
        <v>6186</v>
      </c>
      <c r="BB59">
        <v>28325</v>
      </c>
      <c r="BC59">
        <v>43.69</v>
      </c>
      <c r="BD59">
        <v>6.29</v>
      </c>
      <c r="BF59" s="52">
        <v>12.4</v>
      </c>
      <c r="BG59">
        <v>82609</v>
      </c>
      <c r="BH59">
        <v>81201</v>
      </c>
      <c r="BI59">
        <v>79793</v>
      </c>
      <c r="BJ59">
        <v>78384</v>
      </c>
      <c r="BK59">
        <v>76976</v>
      </c>
      <c r="BL59">
        <v>75567</v>
      </c>
      <c r="BM59">
        <v>74159</v>
      </c>
      <c r="BN59">
        <v>72750</v>
      </c>
      <c r="BO59">
        <v>71341</v>
      </c>
      <c r="BP59">
        <v>69930</v>
      </c>
      <c r="BQ59">
        <v>68514</v>
      </c>
      <c r="BR59">
        <v>67099</v>
      </c>
      <c r="BS59">
        <v>65684</v>
      </c>
      <c r="BT59">
        <v>64270</v>
      </c>
      <c r="BU59">
        <v>62859</v>
      </c>
      <c r="BV59">
        <v>61449</v>
      </c>
      <c r="BW59">
        <v>60039</v>
      </c>
      <c r="BX59">
        <v>58629</v>
      </c>
      <c r="BY59">
        <v>57219</v>
      </c>
      <c r="BZ59">
        <v>55808</v>
      </c>
      <c r="CA59">
        <v>54398</v>
      </c>
      <c r="CB59">
        <v>52987</v>
      </c>
      <c r="CC59">
        <v>51577</v>
      </c>
      <c r="CD59">
        <v>50166</v>
      </c>
      <c r="CE59">
        <v>48757</v>
      </c>
      <c r="CF59">
        <v>47021</v>
      </c>
      <c r="CG59">
        <v>45607</v>
      </c>
      <c r="CH59">
        <v>44193</v>
      </c>
      <c r="CI59">
        <v>42780</v>
      </c>
      <c r="CJ59">
        <v>41365</v>
      </c>
      <c r="CL59" s="52">
        <v>12.4</v>
      </c>
      <c r="CM59">
        <v>1.19</v>
      </c>
      <c r="CN59">
        <v>2.39</v>
      </c>
      <c r="CO59">
        <v>2.8719999999999999</v>
      </c>
      <c r="CP59">
        <v>4.8040000000000003</v>
      </c>
      <c r="CQ59">
        <v>6.8280000000000003</v>
      </c>
      <c r="CR59">
        <v>8.65</v>
      </c>
      <c r="CS59">
        <v>9.93</v>
      </c>
      <c r="CT59">
        <v>10.638999999999999</v>
      </c>
      <c r="CU59">
        <v>10.856</v>
      </c>
      <c r="CW59" s="52">
        <v>12.4</v>
      </c>
      <c r="CX59">
        <v>1.194</v>
      </c>
      <c r="CY59">
        <v>2.3980000000000001</v>
      </c>
      <c r="CZ59">
        <v>2.8820000000000001</v>
      </c>
      <c r="DA59">
        <v>4.8150000000000004</v>
      </c>
      <c r="DB59">
        <v>6.8360000000000003</v>
      </c>
      <c r="DC59">
        <v>8.6560000000000006</v>
      </c>
      <c r="DD59">
        <v>9.9380000000000006</v>
      </c>
      <c r="DE59">
        <v>10.647</v>
      </c>
      <c r="DF59">
        <v>10.862</v>
      </c>
    </row>
    <row r="60" spans="2:110" ht="15" x14ac:dyDescent="0.35">
      <c r="B60" s="52" t="s">
        <v>54</v>
      </c>
      <c r="C60" s="1">
        <v>45.2</v>
      </c>
      <c r="D60" s="1">
        <v>44.3</v>
      </c>
      <c r="E60" s="1">
        <v>19.2</v>
      </c>
      <c r="F60" s="1">
        <v>7.19</v>
      </c>
      <c r="G60" s="1">
        <v>13.5</v>
      </c>
      <c r="H60" s="1">
        <v>4</v>
      </c>
      <c r="J60">
        <v>6.3</v>
      </c>
      <c r="K60">
        <v>30256</v>
      </c>
      <c r="L60">
        <v>19212</v>
      </c>
      <c r="M60">
        <v>100.37</v>
      </c>
      <c r="N60">
        <v>3.26</v>
      </c>
      <c r="O60">
        <v>98.16</v>
      </c>
      <c r="P60">
        <v>16.82</v>
      </c>
      <c r="Q60">
        <v>607.1</v>
      </c>
      <c r="R60">
        <v>52.1</v>
      </c>
      <c r="S60">
        <v>0.79</v>
      </c>
      <c r="T60">
        <v>5083</v>
      </c>
      <c r="U60">
        <v>6767</v>
      </c>
      <c r="W60" s="39">
        <v>7.7750000000000004</v>
      </c>
      <c r="X60">
        <v>10</v>
      </c>
      <c r="Y60">
        <v>5888.9</v>
      </c>
      <c r="Z60">
        <v>23973</v>
      </c>
      <c r="AA60">
        <v>158.68</v>
      </c>
      <c r="AB60">
        <v>5.89</v>
      </c>
      <c r="AD60">
        <v>7.9749999999999996</v>
      </c>
      <c r="AE60">
        <v>10</v>
      </c>
      <c r="AF60">
        <v>6440.1</v>
      </c>
      <c r="AG60">
        <v>29848</v>
      </c>
      <c r="AH60">
        <v>130.01</v>
      </c>
      <c r="AI60">
        <v>5.96</v>
      </c>
      <c r="AK60">
        <v>7.9749999999999996</v>
      </c>
      <c r="AL60">
        <v>10</v>
      </c>
      <c r="AM60">
        <v>6440.9</v>
      </c>
      <c r="AN60">
        <v>29853</v>
      </c>
      <c r="AO60">
        <v>101.22</v>
      </c>
      <c r="AP60">
        <v>5.96</v>
      </c>
      <c r="AR60">
        <v>7.9749999999999996</v>
      </c>
      <c r="AS60">
        <v>10</v>
      </c>
      <c r="AT60">
        <v>6440.1</v>
      </c>
      <c r="AU60">
        <v>29848</v>
      </c>
      <c r="AV60">
        <v>72.41</v>
      </c>
      <c r="AW60">
        <v>5.96</v>
      </c>
      <c r="AY60">
        <v>7.9749999999999996</v>
      </c>
      <c r="AZ60">
        <v>10</v>
      </c>
      <c r="BA60">
        <v>6004.6</v>
      </c>
      <c r="BB60">
        <v>28291</v>
      </c>
      <c r="BC60">
        <v>43.72</v>
      </c>
      <c r="BD60">
        <v>6.18</v>
      </c>
      <c r="BF60" s="52">
        <v>12.5</v>
      </c>
      <c r="BG60">
        <v>83239</v>
      </c>
      <c r="BH60">
        <v>81818</v>
      </c>
      <c r="BI60">
        <v>80397</v>
      </c>
      <c r="BJ60">
        <v>78977</v>
      </c>
      <c r="BK60">
        <v>77556</v>
      </c>
      <c r="BL60">
        <v>76135</v>
      </c>
      <c r="BM60">
        <v>74714</v>
      </c>
      <c r="BN60">
        <v>73293</v>
      </c>
      <c r="BO60">
        <v>71872</v>
      </c>
      <c r="BP60">
        <v>70451</v>
      </c>
      <c r="BQ60">
        <v>69030</v>
      </c>
      <c r="BR60">
        <v>67608</v>
      </c>
      <c r="BS60">
        <v>66187</v>
      </c>
      <c r="BT60">
        <v>64765</v>
      </c>
      <c r="BU60">
        <v>63344</v>
      </c>
      <c r="BV60">
        <v>61922</v>
      </c>
      <c r="BW60">
        <v>60501</v>
      </c>
      <c r="BX60">
        <v>59079</v>
      </c>
      <c r="BY60">
        <v>57657</v>
      </c>
      <c r="BZ60">
        <v>56235</v>
      </c>
      <c r="CA60">
        <v>54812</v>
      </c>
      <c r="CB60">
        <v>53389</v>
      </c>
      <c r="CC60">
        <v>51967</v>
      </c>
      <c r="CD60">
        <v>50544</v>
      </c>
      <c r="CE60">
        <v>49122</v>
      </c>
      <c r="CF60">
        <v>47701</v>
      </c>
      <c r="CG60">
        <v>46279</v>
      </c>
      <c r="CH60">
        <v>44857</v>
      </c>
      <c r="CI60">
        <v>43435</v>
      </c>
      <c r="CJ60">
        <v>42013</v>
      </c>
      <c r="CL60" s="52">
        <v>12.5</v>
      </c>
      <c r="CM60">
        <v>1.19</v>
      </c>
      <c r="CN60">
        <v>2.39</v>
      </c>
      <c r="CO60">
        <v>2.8719999999999999</v>
      </c>
      <c r="CP60">
        <v>4.7960000000000003</v>
      </c>
      <c r="CQ60">
        <v>6.8049999999999997</v>
      </c>
      <c r="CR60">
        <v>8.6180000000000003</v>
      </c>
      <c r="CS60">
        <v>9.8979999999999997</v>
      </c>
      <c r="CT60">
        <v>10.613</v>
      </c>
      <c r="CU60">
        <v>10.843</v>
      </c>
      <c r="CW60" s="52">
        <v>12.5</v>
      </c>
      <c r="CX60">
        <v>1.194</v>
      </c>
      <c r="CY60">
        <v>2.3980000000000001</v>
      </c>
      <c r="CZ60">
        <v>2.8820000000000001</v>
      </c>
      <c r="DA60">
        <v>4.8070000000000004</v>
      </c>
      <c r="DB60">
        <v>6.8109999999999999</v>
      </c>
      <c r="DC60">
        <v>8.6229999999999993</v>
      </c>
      <c r="DD60">
        <v>9.9049999999999994</v>
      </c>
      <c r="DE60">
        <v>10.621</v>
      </c>
      <c r="DF60">
        <v>10.849</v>
      </c>
    </row>
    <row r="61" spans="2:110" ht="15" x14ac:dyDescent="0.35">
      <c r="B61" s="52" t="s">
        <v>55</v>
      </c>
      <c r="C61" s="1">
        <v>38.5</v>
      </c>
      <c r="D61" s="1">
        <v>37.700000000000003</v>
      </c>
      <c r="E61" s="1">
        <v>22.69</v>
      </c>
      <c r="F61" s="1">
        <v>3.19</v>
      </c>
      <c r="G61" s="1">
        <v>1.31</v>
      </c>
      <c r="H61" s="1">
        <v>27</v>
      </c>
      <c r="J61">
        <v>6.4</v>
      </c>
      <c r="K61">
        <v>30778</v>
      </c>
      <c r="L61">
        <v>19733</v>
      </c>
      <c r="M61">
        <v>100.33</v>
      </c>
      <c r="N61">
        <v>3.31</v>
      </c>
      <c r="O61">
        <v>98.05</v>
      </c>
      <c r="P61">
        <v>16.670000000000002</v>
      </c>
      <c r="Q61">
        <v>610.1</v>
      </c>
      <c r="R61">
        <v>52.2</v>
      </c>
      <c r="S61">
        <v>0.79100000000000004</v>
      </c>
      <c r="T61">
        <v>5092</v>
      </c>
      <c r="U61">
        <v>6808</v>
      </c>
      <c r="W61" s="39">
        <v>7.5750000000000002</v>
      </c>
      <c r="X61">
        <v>10.199999999999999</v>
      </c>
      <c r="Y61">
        <v>5726.7</v>
      </c>
      <c r="Z61">
        <v>24040</v>
      </c>
      <c r="AA61">
        <v>158.68</v>
      </c>
      <c r="AB61">
        <v>5.79</v>
      </c>
      <c r="AD61">
        <v>7.7750000000000004</v>
      </c>
      <c r="AE61">
        <v>10.199999999999999</v>
      </c>
      <c r="AF61">
        <v>6269.1</v>
      </c>
      <c r="AG61">
        <v>30012</v>
      </c>
      <c r="AH61">
        <v>130.01</v>
      </c>
      <c r="AI61">
        <v>5.86</v>
      </c>
      <c r="AK61">
        <v>7.7750000000000004</v>
      </c>
      <c r="AL61">
        <v>10.199999999999999</v>
      </c>
      <c r="AM61">
        <v>6269.8</v>
      </c>
      <c r="AN61">
        <v>30018</v>
      </c>
      <c r="AO61">
        <v>101.22</v>
      </c>
      <c r="AP61">
        <v>5.86</v>
      </c>
      <c r="AR61">
        <v>7.7750000000000004</v>
      </c>
      <c r="AS61">
        <v>10.199999999999999</v>
      </c>
      <c r="AT61">
        <v>6269.1</v>
      </c>
      <c r="AU61">
        <v>30012</v>
      </c>
      <c r="AV61">
        <v>72.41</v>
      </c>
      <c r="AW61">
        <v>5.86</v>
      </c>
      <c r="AY61">
        <v>7.7750000000000004</v>
      </c>
      <c r="AZ61">
        <v>10.199999999999999</v>
      </c>
      <c r="BA61">
        <v>5823.7</v>
      </c>
      <c r="BB61">
        <v>28213</v>
      </c>
      <c r="BC61">
        <v>43.75</v>
      </c>
      <c r="BD61">
        <v>6.07</v>
      </c>
      <c r="BF61" s="52">
        <v>12.6</v>
      </c>
      <c r="BG61">
        <v>83657</v>
      </c>
      <c r="BH61">
        <v>82224</v>
      </c>
      <c r="BI61">
        <v>80791</v>
      </c>
      <c r="BJ61">
        <v>79566</v>
      </c>
      <c r="BK61">
        <v>78133</v>
      </c>
      <c r="BL61">
        <v>76699</v>
      </c>
      <c r="BM61">
        <v>75266</v>
      </c>
      <c r="BN61">
        <v>73833</v>
      </c>
      <c r="BO61">
        <v>72400</v>
      </c>
      <c r="BP61">
        <v>70966</v>
      </c>
      <c r="BQ61">
        <v>69532</v>
      </c>
      <c r="BR61">
        <v>68099</v>
      </c>
      <c r="BS61">
        <v>66665</v>
      </c>
      <c r="BT61">
        <v>65232</v>
      </c>
      <c r="BU61">
        <v>63798</v>
      </c>
      <c r="BV61">
        <v>62364</v>
      </c>
      <c r="BW61">
        <v>60930</v>
      </c>
      <c r="BX61">
        <v>59496</v>
      </c>
      <c r="BY61">
        <v>58062</v>
      </c>
      <c r="BZ61">
        <v>56627</v>
      </c>
      <c r="CA61">
        <v>55192</v>
      </c>
      <c r="CB61">
        <v>53758</v>
      </c>
      <c r="CC61">
        <v>52323</v>
      </c>
      <c r="CD61">
        <v>50665</v>
      </c>
      <c r="CE61">
        <v>49227</v>
      </c>
      <c r="CF61">
        <v>47790</v>
      </c>
      <c r="CG61">
        <v>46353</v>
      </c>
      <c r="CH61">
        <v>44917</v>
      </c>
      <c r="CI61">
        <v>43480</v>
      </c>
      <c r="CJ61">
        <v>42044</v>
      </c>
      <c r="CL61" s="52">
        <v>12.6</v>
      </c>
      <c r="CM61">
        <v>1.19</v>
      </c>
      <c r="CN61">
        <v>2.39</v>
      </c>
      <c r="CO61">
        <v>2.8719999999999999</v>
      </c>
      <c r="CP61">
        <v>4.7869999999999999</v>
      </c>
      <c r="CQ61">
        <v>6.782</v>
      </c>
      <c r="CR61">
        <v>8.5860000000000003</v>
      </c>
      <c r="CS61">
        <v>9.8659999999999997</v>
      </c>
      <c r="CT61">
        <v>10.587</v>
      </c>
      <c r="CU61">
        <v>10.83</v>
      </c>
      <c r="CW61" s="52">
        <v>12.6</v>
      </c>
      <c r="CX61">
        <v>1.194</v>
      </c>
      <c r="CY61">
        <v>2.3980000000000001</v>
      </c>
      <c r="CZ61">
        <v>2.8809999999999998</v>
      </c>
      <c r="DA61">
        <v>4.7969999999999997</v>
      </c>
      <c r="DB61">
        <v>6.7880000000000003</v>
      </c>
      <c r="DC61">
        <v>8.59</v>
      </c>
      <c r="DD61">
        <v>9.8729999999999993</v>
      </c>
      <c r="DE61">
        <v>10.595000000000001</v>
      </c>
      <c r="DF61">
        <v>10.836</v>
      </c>
    </row>
    <row r="62" spans="2:110" ht="15" x14ac:dyDescent="0.35">
      <c r="B62" s="18"/>
      <c r="C62" s="18"/>
      <c r="D62" s="18"/>
      <c r="E62" s="18"/>
      <c r="F62" s="18"/>
      <c r="G62" s="18"/>
      <c r="H62" s="18"/>
      <c r="J62">
        <v>6.5</v>
      </c>
      <c r="K62">
        <v>31300</v>
      </c>
      <c r="L62">
        <v>20256</v>
      </c>
      <c r="M62">
        <v>100.29</v>
      </c>
      <c r="N62">
        <v>3.37</v>
      </c>
      <c r="O62">
        <v>97.93</v>
      </c>
      <c r="P62">
        <v>16.53</v>
      </c>
      <c r="Q62">
        <v>613.1</v>
      </c>
      <c r="R62">
        <v>52.3</v>
      </c>
      <c r="S62">
        <v>0.79200000000000004</v>
      </c>
      <c r="T62">
        <v>5101</v>
      </c>
      <c r="U62">
        <v>6850</v>
      </c>
      <c r="W62" s="39">
        <v>7.375</v>
      </c>
      <c r="X62">
        <v>10.4</v>
      </c>
      <c r="Y62">
        <v>5564.5</v>
      </c>
      <c r="Z62">
        <v>24080</v>
      </c>
      <c r="AA62">
        <v>158.68</v>
      </c>
      <c r="AB62">
        <v>5.69</v>
      </c>
      <c r="AD62">
        <v>7.5750000000000002</v>
      </c>
      <c r="AE62">
        <v>10.4</v>
      </c>
      <c r="AF62">
        <v>6098</v>
      </c>
      <c r="AG62">
        <v>30142</v>
      </c>
      <c r="AH62">
        <v>130.01</v>
      </c>
      <c r="AI62">
        <v>5.76</v>
      </c>
      <c r="AK62">
        <v>7.5750000000000002</v>
      </c>
      <c r="AL62">
        <v>10.4</v>
      </c>
      <c r="AM62">
        <v>6098.7</v>
      </c>
      <c r="AN62">
        <v>30147</v>
      </c>
      <c r="AO62">
        <v>101.22</v>
      </c>
      <c r="AP62">
        <v>5.76</v>
      </c>
      <c r="AR62">
        <v>7.5750000000000002</v>
      </c>
      <c r="AS62">
        <v>10.4</v>
      </c>
      <c r="AT62">
        <v>6098.1</v>
      </c>
      <c r="AU62">
        <v>30142</v>
      </c>
      <c r="AV62">
        <v>72.41</v>
      </c>
      <c r="AW62">
        <v>5.76</v>
      </c>
      <c r="AY62">
        <v>7.5750000000000002</v>
      </c>
      <c r="AZ62">
        <v>10.4</v>
      </c>
      <c r="BA62">
        <v>5643.4</v>
      </c>
      <c r="BB62">
        <v>28093</v>
      </c>
      <c r="BC62">
        <v>43.78</v>
      </c>
      <c r="BD62">
        <v>5.96</v>
      </c>
      <c r="BF62" s="52">
        <v>12.7</v>
      </c>
      <c r="BG62">
        <v>84280</v>
      </c>
      <c r="BH62">
        <v>82835</v>
      </c>
      <c r="BI62">
        <v>81390</v>
      </c>
      <c r="BJ62">
        <v>79944</v>
      </c>
      <c r="BK62">
        <v>78499</v>
      </c>
      <c r="BL62">
        <v>77054</v>
      </c>
      <c r="BM62">
        <v>75609</v>
      </c>
      <c r="BN62">
        <v>74368</v>
      </c>
      <c r="BO62">
        <v>72922</v>
      </c>
      <c r="BP62">
        <v>71477</v>
      </c>
      <c r="BQ62">
        <v>70030</v>
      </c>
      <c r="BR62">
        <v>68585</v>
      </c>
      <c r="BS62">
        <v>67139</v>
      </c>
      <c r="BT62">
        <v>65693</v>
      </c>
      <c r="BU62">
        <v>64247</v>
      </c>
      <c r="BV62">
        <v>62801</v>
      </c>
      <c r="BW62">
        <v>61355</v>
      </c>
      <c r="BX62">
        <v>59909</v>
      </c>
      <c r="BY62">
        <v>58462</v>
      </c>
      <c r="BZ62">
        <v>57016</v>
      </c>
      <c r="CA62">
        <v>55405</v>
      </c>
      <c r="CB62">
        <v>53953</v>
      </c>
      <c r="CC62">
        <v>52502</v>
      </c>
      <c r="CD62">
        <v>51051</v>
      </c>
      <c r="CE62">
        <v>49601</v>
      </c>
      <c r="CF62">
        <v>48152</v>
      </c>
      <c r="CG62">
        <v>46702</v>
      </c>
      <c r="CH62">
        <v>45253</v>
      </c>
      <c r="CI62">
        <v>43803</v>
      </c>
      <c r="CJ62">
        <v>42354</v>
      </c>
      <c r="CL62" s="52">
        <v>12.7</v>
      </c>
      <c r="CM62">
        <v>1.19</v>
      </c>
      <c r="CN62">
        <v>2.39</v>
      </c>
      <c r="CO62">
        <v>2.8719999999999999</v>
      </c>
      <c r="CP62">
        <v>4.7779999999999996</v>
      </c>
      <c r="CQ62">
        <v>6.76</v>
      </c>
      <c r="CR62">
        <v>8.5530000000000008</v>
      </c>
      <c r="CS62">
        <v>9.8339999999999996</v>
      </c>
      <c r="CT62">
        <v>10.561</v>
      </c>
      <c r="CU62">
        <v>10.816000000000001</v>
      </c>
      <c r="CW62" s="52">
        <v>12.7</v>
      </c>
      <c r="CX62">
        <v>1.194</v>
      </c>
      <c r="CY62">
        <v>2.3980000000000001</v>
      </c>
      <c r="CZ62">
        <v>2.8809999999999998</v>
      </c>
      <c r="DA62">
        <v>4.7869999999999999</v>
      </c>
      <c r="DB62">
        <v>6.7649999999999997</v>
      </c>
      <c r="DC62">
        <v>8.5570000000000004</v>
      </c>
      <c r="DD62">
        <v>9.84</v>
      </c>
      <c r="DE62">
        <v>10.568</v>
      </c>
      <c r="DF62">
        <v>10.823</v>
      </c>
    </row>
    <row r="63" spans="2:110" ht="15" x14ac:dyDescent="0.35">
      <c r="B63" s="52" t="s">
        <v>56</v>
      </c>
      <c r="C63" s="22">
        <v>2003.9</v>
      </c>
      <c r="D63" s="22">
        <v>1963.9</v>
      </c>
      <c r="E63" s="22">
        <v>20.58</v>
      </c>
      <c r="F63" s="22">
        <v>0.22</v>
      </c>
      <c r="G63" s="22">
        <v>12.3</v>
      </c>
      <c r="H63" s="18"/>
      <c r="J63">
        <v>6.6</v>
      </c>
      <c r="K63">
        <v>31823</v>
      </c>
      <c r="L63">
        <v>20779</v>
      </c>
      <c r="M63">
        <v>100.25</v>
      </c>
      <c r="N63">
        <v>3.42</v>
      </c>
      <c r="O63">
        <v>97.82</v>
      </c>
      <c r="P63">
        <v>16.399999999999999</v>
      </c>
      <c r="Q63">
        <v>616.1</v>
      </c>
      <c r="R63">
        <v>52.4</v>
      </c>
      <c r="S63">
        <v>0.79300000000000004</v>
      </c>
      <c r="T63">
        <v>5110</v>
      </c>
      <c r="U63">
        <v>6892</v>
      </c>
      <c r="W63" s="39">
        <v>7.1749999999999998</v>
      </c>
      <c r="X63">
        <v>10.6</v>
      </c>
      <c r="Y63">
        <v>5402.3</v>
      </c>
      <c r="Z63">
        <v>24093</v>
      </c>
      <c r="AA63">
        <v>158.68</v>
      </c>
      <c r="AB63">
        <v>5.59</v>
      </c>
      <c r="AD63">
        <v>7.375</v>
      </c>
      <c r="AE63">
        <v>10.6</v>
      </c>
      <c r="AF63">
        <v>5927</v>
      </c>
      <c r="AG63">
        <v>30237</v>
      </c>
      <c r="AH63">
        <v>130.01</v>
      </c>
      <c r="AI63">
        <v>5.65</v>
      </c>
      <c r="AK63">
        <v>7.375</v>
      </c>
      <c r="AL63">
        <v>10.6</v>
      </c>
      <c r="AM63">
        <v>5927.7</v>
      </c>
      <c r="AN63">
        <v>30242</v>
      </c>
      <c r="AO63">
        <v>101.22</v>
      </c>
      <c r="AP63">
        <v>5.65</v>
      </c>
      <c r="AR63">
        <v>7.375</v>
      </c>
      <c r="AS63">
        <v>10.6</v>
      </c>
      <c r="AT63">
        <v>5927</v>
      </c>
      <c r="AU63">
        <v>30237</v>
      </c>
      <c r="AV63">
        <v>72.41</v>
      </c>
      <c r="AW63">
        <v>5.65</v>
      </c>
      <c r="AY63">
        <v>7.375</v>
      </c>
      <c r="AZ63">
        <v>10.6</v>
      </c>
      <c r="BA63">
        <v>5463.9</v>
      </c>
      <c r="BB63">
        <v>27932</v>
      </c>
      <c r="BC63">
        <v>43.81</v>
      </c>
      <c r="BD63">
        <v>5.85</v>
      </c>
      <c r="BF63" s="52">
        <v>12.8</v>
      </c>
      <c r="BG63">
        <v>84901</v>
      </c>
      <c r="BH63">
        <v>83443</v>
      </c>
      <c r="BI63">
        <v>81985</v>
      </c>
      <c r="BJ63">
        <v>80527</v>
      </c>
      <c r="BK63">
        <v>79069</v>
      </c>
      <c r="BL63">
        <v>77612</v>
      </c>
      <c r="BM63">
        <v>76154</v>
      </c>
      <c r="BN63">
        <v>74696</v>
      </c>
      <c r="BO63">
        <v>73238</v>
      </c>
      <c r="BP63">
        <v>71780</v>
      </c>
      <c r="BQ63">
        <v>70322</v>
      </c>
      <c r="BR63">
        <v>68864</v>
      </c>
      <c r="BS63">
        <v>67607</v>
      </c>
      <c r="BT63">
        <v>66149</v>
      </c>
      <c r="BU63">
        <v>64691</v>
      </c>
      <c r="BV63">
        <v>63233</v>
      </c>
      <c r="BW63">
        <v>61775</v>
      </c>
      <c r="BX63">
        <v>60316</v>
      </c>
      <c r="BY63">
        <v>58858</v>
      </c>
      <c r="BZ63">
        <v>57399</v>
      </c>
      <c r="CA63">
        <v>55831</v>
      </c>
      <c r="CB63">
        <v>54367</v>
      </c>
      <c r="CC63">
        <v>52904</v>
      </c>
      <c r="CD63">
        <v>51441</v>
      </c>
      <c r="CE63">
        <v>49978</v>
      </c>
      <c r="CF63">
        <v>48516</v>
      </c>
      <c r="CG63">
        <v>47053</v>
      </c>
      <c r="CH63">
        <v>45591</v>
      </c>
      <c r="CI63">
        <v>44128</v>
      </c>
      <c r="CJ63">
        <v>42666</v>
      </c>
      <c r="CL63" s="52">
        <v>12.8</v>
      </c>
      <c r="CM63">
        <v>1.19</v>
      </c>
      <c r="CN63">
        <v>2.39</v>
      </c>
      <c r="CO63">
        <v>2.8730000000000002</v>
      </c>
      <c r="CP63">
        <v>4.7679999999999998</v>
      </c>
      <c r="CQ63">
        <v>6.7380000000000004</v>
      </c>
      <c r="CR63">
        <v>8.5210000000000008</v>
      </c>
      <c r="CS63">
        <v>9.8010000000000002</v>
      </c>
      <c r="CT63">
        <v>10.535</v>
      </c>
      <c r="CU63">
        <v>10.803000000000001</v>
      </c>
      <c r="CW63" s="52">
        <v>12.8</v>
      </c>
      <c r="CX63">
        <v>1.194</v>
      </c>
      <c r="CY63">
        <v>2.3980000000000001</v>
      </c>
      <c r="CZ63">
        <v>2.8809999999999998</v>
      </c>
      <c r="DA63">
        <v>4.7759999999999998</v>
      </c>
      <c r="DB63">
        <v>6.742</v>
      </c>
      <c r="DC63">
        <v>8.5239999999999991</v>
      </c>
      <c r="DD63">
        <v>9.8070000000000004</v>
      </c>
      <c r="DE63">
        <v>10.542</v>
      </c>
      <c r="DF63">
        <v>10.808999999999999</v>
      </c>
    </row>
    <row r="64" spans="2:110" ht="15" x14ac:dyDescent="0.35">
      <c r="J64">
        <v>6.7</v>
      </c>
      <c r="K64">
        <v>32348</v>
      </c>
      <c r="L64">
        <v>21303</v>
      </c>
      <c r="M64">
        <v>100.21</v>
      </c>
      <c r="N64">
        <v>3.47</v>
      </c>
      <c r="O64">
        <v>97.7</v>
      </c>
      <c r="P64">
        <v>16.27</v>
      </c>
      <c r="Q64">
        <v>619.20000000000005</v>
      </c>
      <c r="R64">
        <v>52.5</v>
      </c>
      <c r="S64">
        <v>0.79400000000000004</v>
      </c>
      <c r="T64">
        <v>5119</v>
      </c>
      <c r="U64">
        <v>6934</v>
      </c>
      <c r="W64" s="39">
        <v>6.9749999999999996</v>
      </c>
      <c r="X64">
        <v>10.8</v>
      </c>
      <c r="Y64">
        <v>5240.1000000000004</v>
      </c>
      <c r="Z64">
        <v>24076</v>
      </c>
      <c r="AA64">
        <v>158.68</v>
      </c>
      <c r="AB64">
        <v>5.48</v>
      </c>
      <c r="AD64">
        <v>7.1749999999999998</v>
      </c>
      <c r="AE64">
        <v>10.8</v>
      </c>
      <c r="AF64">
        <v>5756</v>
      </c>
      <c r="AG64">
        <v>30297</v>
      </c>
      <c r="AH64">
        <v>130.01</v>
      </c>
      <c r="AI64">
        <v>5.55</v>
      </c>
      <c r="AK64">
        <v>7.1749999999999998</v>
      </c>
      <c r="AL64">
        <v>10.8</v>
      </c>
      <c r="AM64">
        <v>5756.6</v>
      </c>
      <c r="AN64">
        <v>30303</v>
      </c>
      <c r="AO64">
        <v>101.21</v>
      </c>
      <c r="AP64">
        <v>5.55</v>
      </c>
      <c r="AR64">
        <v>7.1749999999999998</v>
      </c>
      <c r="AS64">
        <v>10.8</v>
      </c>
      <c r="AT64">
        <v>5756</v>
      </c>
      <c r="AU64">
        <v>30297</v>
      </c>
      <c r="AV64">
        <v>72.41</v>
      </c>
      <c r="AW64">
        <v>5.55</v>
      </c>
      <c r="AY64">
        <v>7.1749999999999998</v>
      </c>
      <c r="AZ64">
        <v>10.8</v>
      </c>
      <c r="BA64">
        <v>5285.3</v>
      </c>
      <c r="BB64">
        <v>27732</v>
      </c>
      <c r="BC64">
        <v>43.84</v>
      </c>
      <c r="BD64">
        <v>5.74</v>
      </c>
      <c r="BF64" s="52">
        <v>12.9</v>
      </c>
      <c r="BG64">
        <v>85518</v>
      </c>
      <c r="BH64">
        <v>84047</v>
      </c>
      <c r="BI64">
        <v>82577</v>
      </c>
      <c r="BJ64">
        <v>81106</v>
      </c>
      <c r="BK64">
        <v>79636</v>
      </c>
      <c r="BL64">
        <v>78165</v>
      </c>
      <c r="BM64">
        <v>76694</v>
      </c>
      <c r="BN64">
        <v>75224</v>
      </c>
      <c r="BO64">
        <v>73753</v>
      </c>
      <c r="BP64">
        <v>72283</v>
      </c>
      <c r="BQ64">
        <v>70812</v>
      </c>
      <c r="BR64">
        <v>69341</v>
      </c>
      <c r="BS64">
        <v>67871</v>
      </c>
      <c r="BT64">
        <v>66400</v>
      </c>
      <c r="BU64">
        <v>64930</v>
      </c>
      <c r="BV64">
        <v>63459</v>
      </c>
      <c r="BW64">
        <v>61989</v>
      </c>
      <c r="BX64">
        <v>60715</v>
      </c>
      <c r="BY64">
        <v>59245</v>
      </c>
      <c r="BZ64">
        <v>57774</v>
      </c>
      <c r="CA64">
        <v>56303</v>
      </c>
      <c r="CB64">
        <v>54832</v>
      </c>
      <c r="CC64">
        <v>53305</v>
      </c>
      <c r="CD64">
        <v>51829</v>
      </c>
      <c r="CE64">
        <v>50353</v>
      </c>
      <c r="CF64">
        <v>48877</v>
      </c>
      <c r="CG64">
        <v>47401</v>
      </c>
      <c r="CH64">
        <v>45925</v>
      </c>
      <c r="CI64">
        <v>44449</v>
      </c>
      <c r="CJ64">
        <v>42974</v>
      </c>
      <c r="CL64" s="52">
        <v>12.9</v>
      </c>
      <c r="CM64">
        <v>1.19</v>
      </c>
      <c r="CN64">
        <v>2.391</v>
      </c>
      <c r="CO64">
        <v>2.8730000000000002</v>
      </c>
      <c r="CP64">
        <v>4.7569999999999997</v>
      </c>
      <c r="CQ64">
        <v>6.7169999999999996</v>
      </c>
      <c r="CR64">
        <v>8.4879999999999995</v>
      </c>
      <c r="CS64">
        <v>9.7680000000000007</v>
      </c>
      <c r="CT64">
        <v>10.509</v>
      </c>
      <c r="CU64">
        <v>10.789</v>
      </c>
      <c r="CW64" s="52">
        <v>12.9</v>
      </c>
      <c r="CX64">
        <v>1.194</v>
      </c>
      <c r="CY64">
        <v>2.3980000000000001</v>
      </c>
      <c r="CZ64">
        <v>2.8809999999999998</v>
      </c>
      <c r="DA64">
        <v>4.7649999999999997</v>
      </c>
      <c r="DB64">
        <v>6.72</v>
      </c>
      <c r="DC64">
        <v>8.4909999999999997</v>
      </c>
      <c r="DD64">
        <v>9.7739999999999991</v>
      </c>
      <c r="DE64">
        <v>10.515000000000001</v>
      </c>
      <c r="DF64">
        <v>10.795999999999999</v>
      </c>
    </row>
    <row r="65" spans="2:110" ht="15" x14ac:dyDescent="0.35">
      <c r="J65">
        <v>6.8</v>
      </c>
      <c r="K65">
        <v>32873</v>
      </c>
      <c r="L65">
        <v>21829</v>
      </c>
      <c r="M65">
        <v>100.17</v>
      </c>
      <c r="N65">
        <v>3.52</v>
      </c>
      <c r="O65">
        <v>97.57</v>
      </c>
      <c r="P65">
        <v>16.14</v>
      </c>
      <c r="Q65">
        <v>622.29999999999995</v>
      </c>
      <c r="R65">
        <v>52.6</v>
      </c>
      <c r="S65">
        <v>0.79500000000000004</v>
      </c>
      <c r="T65">
        <v>5128</v>
      </c>
      <c r="U65">
        <v>6976</v>
      </c>
      <c r="W65" s="39">
        <v>6.7750000000000004</v>
      </c>
      <c r="X65">
        <v>11</v>
      </c>
      <c r="Y65">
        <v>5077.8999999999996</v>
      </c>
      <c r="Z65">
        <v>24030</v>
      </c>
      <c r="AA65">
        <v>158.68</v>
      </c>
      <c r="AB65">
        <v>5.38</v>
      </c>
      <c r="AD65">
        <v>6.9749999999999996</v>
      </c>
      <c r="AE65">
        <v>11</v>
      </c>
      <c r="AF65">
        <v>5584.9</v>
      </c>
      <c r="AG65">
        <v>30321</v>
      </c>
      <c r="AH65">
        <v>130.01</v>
      </c>
      <c r="AI65">
        <v>5.45</v>
      </c>
      <c r="AK65">
        <v>6.9749999999999996</v>
      </c>
      <c r="AL65">
        <v>11</v>
      </c>
      <c r="AM65">
        <v>5585.5</v>
      </c>
      <c r="AN65">
        <v>30326</v>
      </c>
      <c r="AO65">
        <v>101.21</v>
      </c>
      <c r="AP65">
        <v>5.45</v>
      </c>
      <c r="AR65">
        <v>6.9749999999999996</v>
      </c>
      <c r="AS65">
        <v>11</v>
      </c>
      <c r="AT65">
        <v>5584.9</v>
      </c>
      <c r="AU65">
        <v>30321</v>
      </c>
      <c r="AV65">
        <v>72.41</v>
      </c>
      <c r="AW65">
        <v>5.45</v>
      </c>
      <c r="AY65">
        <v>6.9749999999999996</v>
      </c>
      <c r="AZ65">
        <v>11</v>
      </c>
      <c r="BA65">
        <v>5107.5</v>
      </c>
      <c r="BB65">
        <v>27491</v>
      </c>
      <c r="BC65">
        <v>43.87</v>
      </c>
      <c r="BD65">
        <v>5.63</v>
      </c>
      <c r="BF65" s="52">
        <v>13</v>
      </c>
      <c r="BG65">
        <v>86131</v>
      </c>
      <c r="BH65">
        <v>84648</v>
      </c>
      <c r="BI65">
        <v>83165</v>
      </c>
      <c r="BJ65">
        <v>81682</v>
      </c>
      <c r="BK65">
        <v>80198</v>
      </c>
      <c r="BL65">
        <v>78715</v>
      </c>
      <c r="BM65">
        <v>77232</v>
      </c>
      <c r="BN65">
        <v>75749</v>
      </c>
      <c r="BO65">
        <v>74266</v>
      </c>
      <c r="BP65">
        <v>72782</v>
      </c>
      <c r="BQ65">
        <v>71299</v>
      </c>
      <c r="BR65">
        <v>69816</v>
      </c>
      <c r="BS65">
        <v>68332</v>
      </c>
      <c r="BT65">
        <v>66849</v>
      </c>
      <c r="BU65">
        <v>65366</v>
      </c>
      <c r="BV65">
        <v>63883</v>
      </c>
      <c r="BW65">
        <v>62400</v>
      </c>
      <c r="BX65">
        <v>60916</v>
      </c>
      <c r="BY65">
        <v>59433</v>
      </c>
      <c r="BZ65">
        <v>57950</v>
      </c>
      <c r="CA65">
        <v>56466</v>
      </c>
      <c r="CB65">
        <v>54983</v>
      </c>
      <c r="CC65">
        <v>53500</v>
      </c>
      <c r="CD65">
        <v>52208</v>
      </c>
      <c r="CE65">
        <v>50725</v>
      </c>
      <c r="CF65">
        <v>49242</v>
      </c>
      <c r="CG65">
        <v>47797</v>
      </c>
      <c r="CH65">
        <v>46304</v>
      </c>
      <c r="CI65">
        <v>44812</v>
      </c>
      <c r="CJ65">
        <v>43321</v>
      </c>
      <c r="CL65" s="52">
        <v>13</v>
      </c>
      <c r="CM65">
        <v>1.1910000000000001</v>
      </c>
      <c r="CN65">
        <v>2.3919999999999999</v>
      </c>
      <c r="CO65">
        <v>2.8740000000000001</v>
      </c>
      <c r="CP65">
        <v>4.7460000000000004</v>
      </c>
      <c r="CQ65">
        <v>6.6959999999999997</v>
      </c>
      <c r="CR65">
        <v>8.4559999999999995</v>
      </c>
      <c r="CS65">
        <v>9.7349999999999994</v>
      </c>
      <c r="CT65">
        <v>10.481999999999999</v>
      </c>
      <c r="CU65">
        <v>10.776</v>
      </c>
      <c r="CW65" s="52">
        <v>13</v>
      </c>
      <c r="CX65">
        <v>1.1950000000000001</v>
      </c>
      <c r="CY65">
        <v>2.3980000000000001</v>
      </c>
      <c r="CZ65">
        <v>2.8820000000000001</v>
      </c>
      <c r="DA65">
        <v>4.7519999999999998</v>
      </c>
      <c r="DB65">
        <v>6.6980000000000004</v>
      </c>
      <c r="DC65">
        <v>8.4570000000000007</v>
      </c>
      <c r="DD65">
        <v>9.74</v>
      </c>
      <c r="DE65">
        <v>10.488</v>
      </c>
      <c r="DF65">
        <v>10.782</v>
      </c>
    </row>
    <row r="66" spans="2:110" ht="15" x14ac:dyDescent="0.35">
      <c r="J66">
        <v>6.9</v>
      </c>
      <c r="K66">
        <v>33399</v>
      </c>
      <c r="L66">
        <v>22355</v>
      </c>
      <c r="M66">
        <v>100.13</v>
      </c>
      <c r="N66">
        <v>3.58</v>
      </c>
      <c r="O66">
        <v>97.44</v>
      </c>
      <c r="P66">
        <v>16.03</v>
      </c>
      <c r="Q66">
        <v>625.5</v>
      </c>
      <c r="R66">
        <v>52.7</v>
      </c>
      <c r="S66">
        <v>0.79600000000000004</v>
      </c>
      <c r="T66">
        <v>5138</v>
      </c>
      <c r="U66">
        <v>7018</v>
      </c>
      <c r="W66" s="39">
        <v>6.5750000000000002</v>
      </c>
      <c r="X66">
        <v>11.2</v>
      </c>
      <c r="Y66">
        <v>4915.7</v>
      </c>
      <c r="Z66">
        <v>23954</v>
      </c>
      <c r="AA66">
        <v>158.66999999999999</v>
      </c>
      <c r="AB66">
        <v>5.28</v>
      </c>
      <c r="AD66">
        <v>6.7750000000000004</v>
      </c>
      <c r="AE66">
        <v>11.2</v>
      </c>
      <c r="AF66">
        <v>5413.9</v>
      </c>
      <c r="AG66">
        <v>30311</v>
      </c>
      <c r="AH66">
        <v>130.01</v>
      </c>
      <c r="AI66">
        <v>5.34</v>
      </c>
      <c r="AK66">
        <v>6.7750000000000004</v>
      </c>
      <c r="AL66">
        <v>11.2</v>
      </c>
      <c r="AM66">
        <v>5414.5</v>
      </c>
      <c r="AN66">
        <v>30316</v>
      </c>
      <c r="AO66">
        <v>101.21</v>
      </c>
      <c r="AP66">
        <v>5.35</v>
      </c>
      <c r="AR66">
        <v>6.7750000000000004</v>
      </c>
      <c r="AS66">
        <v>11.2</v>
      </c>
      <c r="AT66">
        <v>5413.9</v>
      </c>
      <c r="AU66">
        <v>30311</v>
      </c>
      <c r="AV66">
        <v>72.41</v>
      </c>
      <c r="AW66">
        <v>5.34</v>
      </c>
      <c r="AY66">
        <v>6.7750000000000004</v>
      </c>
      <c r="AZ66">
        <v>11.2</v>
      </c>
      <c r="BA66">
        <v>4930.7</v>
      </c>
      <c r="BB66">
        <v>27212</v>
      </c>
      <c r="BC66">
        <v>43.9</v>
      </c>
      <c r="BD66">
        <v>5.52</v>
      </c>
      <c r="BF66"/>
      <c r="CL66" s="52">
        <v>13.1</v>
      </c>
      <c r="CM66">
        <v>1.1910000000000001</v>
      </c>
      <c r="CN66">
        <v>2.3919999999999999</v>
      </c>
      <c r="CO66">
        <v>2.875</v>
      </c>
      <c r="CP66">
        <v>4.734</v>
      </c>
      <c r="CQ66">
        <v>6.6749999999999998</v>
      </c>
      <c r="CR66">
        <v>8.423</v>
      </c>
      <c r="CS66">
        <v>9.702</v>
      </c>
      <c r="CT66">
        <v>10.455</v>
      </c>
      <c r="CU66">
        <v>10.763</v>
      </c>
      <c r="CW66" s="52">
        <v>13.1</v>
      </c>
      <c r="CX66">
        <v>1.1950000000000001</v>
      </c>
      <c r="CY66">
        <v>2.399</v>
      </c>
      <c r="CZ66">
        <v>2.8820000000000001</v>
      </c>
      <c r="DA66">
        <v>4.74</v>
      </c>
      <c r="DB66">
        <v>6.6760000000000002</v>
      </c>
      <c r="DC66">
        <v>8.4239999999999995</v>
      </c>
      <c r="DD66">
        <v>9.7059999999999995</v>
      </c>
      <c r="DE66">
        <v>10.461</v>
      </c>
      <c r="DF66">
        <v>10.769</v>
      </c>
    </row>
    <row r="67" spans="2:110" ht="15" x14ac:dyDescent="0.35">
      <c r="J67">
        <v>7</v>
      </c>
      <c r="K67">
        <v>33926</v>
      </c>
      <c r="L67">
        <v>22882</v>
      </c>
      <c r="M67">
        <v>100.09</v>
      </c>
      <c r="N67">
        <v>3.63</v>
      </c>
      <c r="O67">
        <v>97.31</v>
      </c>
      <c r="P67">
        <v>15.91</v>
      </c>
      <c r="Q67">
        <v>628.6</v>
      </c>
      <c r="R67">
        <v>52.8</v>
      </c>
      <c r="S67">
        <v>0.79700000000000004</v>
      </c>
      <c r="T67">
        <v>5147</v>
      </c>
      <c r="U67">
        <v>7060</v>
      </c>
      <c r="W67" s="39">
        <v>6.375</v>
      </c>
      <c r="X67">
        <v>11.4</v>
      </c>
      <c r="Y67">
        <v>4753.5</v>
      </c>
      <c r="Z67">
        <v>23847</v>
      </c>
      <c r="AA67">
        <v>158.66999999999999</v>
      </c>
      <c r="AB67">
        <v>5.17</v>
      </c>
      <c r="AD67">
        <v>6.5750000000000002</v>
      </c>
      <c r="AE67">
        <v>11.4</v>
      </c>
      <c r="AF67">
        <v>5242.9</v>
      </c>
      <c r="AG67">
        <v>30266</v>
      </c>
      <c r="AH67">
        <v>130.01</v>
      </c>
      <c r="AI67">
        <v>5.24</v>
      </c>
      <c r="AK67">
        <v>6.5750000000000002</v>
      </c>
      <c r="AL67">
        <v>11.4</v>
      </c>
      <c r="AM67">
        <v>5243.4</v>
      </c>
      <c r="AN67">
        <v>30271</v>
      </c>
      <c r="AO67">
        <v>101.21</v>
      </c>
      <c r="AP67">
        <v>5.24</v>
      </c>
      <c r="AR67">
        <v>6.5750000000000002</v>
      </c>
      <c r="AS67">
        <v>11.4</v>
      </c>
      <c r="AT67">
        <v>5242.9</v>
      </c>
      <c r="AU67">
        <v>30266</v>
      </c>
      <c r="AV67">
        <v>72.41</v>
      </c>
      <c r="AW67">
        <v>5.24</v>
      </c>
      <c r="AY67">
        <v>6.5750000000000002</v>
      </c>
      <c r="AZ67">
        <v>11.4</v>
      </c>
      <c r="BA67">
        <v>4754.7</v>
      </c>
      <c r="BB67">
        <v>26892</v>
      </c>
      <c r="BC67">
        <v>43.94</v>
      </c>
      <c r="BD67">
        <v>5.41</v>
      </c>
      <c r="CL67" s="52">
        <v>13.2</v>
      </c>
      <c r="CM67">
        <v>1.1919999999999999</v>
      </c>
      <c r="CN67">
        <v>2.3929999999999998</v>
      </c>
      <c r="CO67">
        <v>2.8759999999999999</v>
      </c>
      <c r="CP67">
        <v>4.7220000000000004</v>
      </c>
      <c r="CQ67">
        <v>6.6550000000000002</v>
      </c>
      <c r="CR67">
        <v>8.39</v>
      </c>
      <c r="CS67">
        <v>9.6679999999999993</v>
      </c>
      <c r="CT67">
        <v>10.428000000000001</v>
      </c>
      <c r="CU67">
        <v>10.749000000000001</v>
      </c>
      <c r="CW67" s="52">
        <v>13.2</v>
      </c>
      <c r="CX67">
        <v>1.1950000000000001</v>
      </c>
      <c r="CY67">
        <v>2.4</v>
      </c>
      <c r="CZ67">
        <v>2.883</v>
      </c>
      <c r="DA67">
        <v>4.726</v>
      </c>
      <c r="DB67">
        <v>6.6550000000000002</v>
      </c>
      <c r="DC67">
        <v>8.391</v>
      </c>
      <c r="DD67">
        <v>9.673</v>
      </c>
      <c r="DE67">
        <v>10.433</v>
      </c>
      <c r="DF67">
        <v>10.755000000000001</v>
      </c>
    </row>
    <row r="68" spans="2:110" ht="15" x14ac:dyDescent="0.35">
      <c r="B68" s="54" t="s">
        <v>57</v>
      </c>
      <c r="C68" s="52" t="s">
        <v>13</v>
      </c>
      <c r="D68" s="52" t="s">
        <v>14</v>
      </c>
      <c r="E68" s="52" t="s">
        <v>15</v>
      </c>
      <c r="F68" s="52" t="s">
        <v>16</v>
      </c>
      <c r="G68" s="52" t="s">
        <v>17</v>
      </c>
      <c r="H68" s="52" t="s">
        <v>18</v>
      </c>
      <c r="J68">
        <v>7.1</v>
      </c>
      <c r="K68">
        <v>34454</v>
      </c>
      <c r="L68">
        <v>23410</v>
      </c>
      <c r="M68">
        <v>100.04</v>
      </c>
      <c r="N68">
        <v>3.68</v>
      </c>
      <c r="O68">
        <v>97.18</v>
      </c>
      <c r="P68">
        <v>15.8</v>
      </c>
      <c r="Q68">
        <v>631.9</v>
      </c>
      <c r="R68">
        <v>52.9</v>
      </c>
      <c r="S68">
        <v>0.79800000000000004</v>
      </c>
      <c r="T68">
        <v>5156</v>
      </c>
      <c r="U68">
        <v>7102</v>
      </c>
      <c r="W68" s="39">
        <v>6.1749999999999998</v>
      </c>
      <c r="X68">
        <v>11.6</v>
      </c>
      <c r="Y68">
        <v>4591.3</v>
      </c>
      <c r="Z68">
        <v>23710</v>
      </c>
      <c r="AA68">
        <v>158.66999999999999</v>
      </c>
      <c r="AB68">
        <v>5.07</v>
      </c>
      <c r="AD68">
        <v>6.375</v>
      </c>
      <c r="AE68">
        <v>11.6</v>
      </c>
      <c r="AF68">
        <v>5071.8</v>
      </c>
      <c r="AG68">
        <v>30187</v>
      </c>
      <c r="AH68">
        <v>130.01</v>
      </c>
      <c r="AI68">
        <v>5.14</v>
      </c>
      <c r="AK68">
        <v>6.375</v>
      </c>
      <c r="AL68">
        <v>11.6</v>
      </c>
      <c r="AM68">
        <v>5072.3</v>
      </c>
      <c r="AN68">
        <v>30192</v>
      </c>
      <c r="AO68">
        <v>101.21</v>
      </c>
      <c r="AP68">
        <v>5.14</v>
      </c>
      <c r="AR68">
        <v>6.375</v>
      </c>
      <c r="AS68">
        <v>11.6</v>
      </c>
      <c r="AT68">
        <v>5071.8</v>
      </c>
      <c r="AU68">
        <v>30187</v>
      </c>
      <c r="AV68">
        <v>72.41</v>
      </c>
      <c r="AW68">
        <v>5.14</v>
      </c>
      <c r="AY68">
        <v>6.375</v>
      </c>
      <c r="AZ68">
        <v>11.6</v>
      </c>
      <c r="BA68">
        <v>4579.6000000000004</v>
      </c>
      <c r="BB68">
        <v>26535</v>
      </c>
      <c r="BC68">
        <v>43.97</v>
      </c>
      <c r="BD68">
        <v>5.29</v>
      </c>
    </row>
    <row r="69" spans="2:110" ht="15" x14ac:dyDescent="0.35">
      <c r="B69" s="52" t="s">
        <v>58</v>
      </c>
      <c r="C69" s="1">
        <v>166.5</v>
      </c>
      <c r="D69" s="1">
        <v>163.1</v>
      </c>
      <c r="E69" s="1">
        <v>14.2</v>
      </c>
      <c r="F69" s="1">
        <v>11.76</v>
      </c>
      <c r="G69" s="1">
        <v>15.65</v>
      </c>
      <c r="H69" s="1">
        <v>211</v>
      </c>
      <c r="J69">
        <v>7.2</v>
      </c>
      <c r="K69">
        <v>34983</v>
      </c>
      <c r="L69">
        <v>23939</v>
      </c>
      <c r="M69">
        <v>100</v>
      </c>
      <c r="N69">
        <v>3.73</v>
      </c>
      <c r="O69">
        <v>97.04</v>
      </c>
      <c r="P69">
        <v>15.7</v>
      </c>
      <c r="Q69">
        <v>635.20000000000005</v>
      </c>
      <c r="R69">
        <v>52.9</v>
      </c>
      <c r="S69">
        <v>0.79900000000000004</v>
      </c>
      <c r="T69">
        <v>5165</v>
      </c>
      <c r="U69">
        <v>7145</v>
      </c>
      <c r="W69" s="39">
        <v>5.9749999999999996</v>
      </c>
      <c r="X69">
        <v>11.8</v>
      </c>
      <c r="Y69">
        <v>4429</v>
      </c>
      <c r="Z69">
        <v>23542</v>
      </c>
      <c r="AA69">
        <v>158.66999999999999</v>
      </c>
      <c r="AB69">
        <v>4.97</v>
      </c>
      <c r="AD69">
        <v>6.1749999999999998</v>
      </c>
      <c r="AE69">
        <v>11.8</v>
      </c>
      <c r="AF69">
        <v>4900.8</v>
      </c>
      <c r="AG69">
        <v>30074</v>
      </c>
      <c r="AH69">
        <v>130.01</v>
      </c>
      <c r="AI69">
        <v>5.04</v>
      </c>
      <c r="AK69">
        <v>6.1749999999999998</v>
      </c>
      <c r="AL69">
        <v>11.8</v>
      </c>
      <c r="AM69">
        <v>4901.2</v>
      </c>
      <c r="AN69">
        <v>30078</v>
      </c>
      <c r="AO69">
        <v>101.21</v>
      </c>
      <c r="AP69">
        <v>5.04</v>
      </c>
      <c r="AR69">
        <v>6.1749999999999998</v>
      </c>
      <c r="AS69">
        <v>11.8</v>
      </c>
      <c r="AT69">
        <v>4900.8</v>
      </c>
      <c r="AU69">
        <v>30074</v>
      </c>
      <c r="AV69">
        <v>72.41</v>
      </c>
      <c r="AW69">
        <v>5.04</v>
      </c>
      <c r="AY69">
        <v>6.1749999999999998</v>
      </c>
      <c r="AZ69">
        <v>11.8</v>
      </c>
      <c r="BA69">
        <v>4405.3999999999996</v>
      </c>
      <c r="BB69">
        <v>26141</v>
      </c>
      <c r="BC69">
        <v>44</v>
      </c>
      <c r="BD69">
        <v>5.18</v>
      </c>
    </row>
    <row r="70" spans="2:110" ht="15" x14ac:dyDescent="0.35">
      <c r="B70" s="52" t="s">
        <v>59</v>
      </c>
      <c r="C70" s="1">
        <v>22.6</v>
      </c>
      <c r="D70" s="1">
        <v>22.2</v>
      </c>
      <c r="E70" s="1">
        <v>15.2</v>
      </c>
      <c r="F70" s="1">
        <v>7.19</v>
      </c>
      <c r="G70" s="1">
        <v>15.75</v>
      </c>
      <c r="H70" s="1">
        <v>4</v>
      </c>
      <c r="J70">
        <v>7.3</v>
      </c>
      <c r="K70">
        <v>35513</v>
      </c>
      <c r="L70">
        <v>24469</v>
      </c>
      <c r="M70">
        <v>99.95</v>
      </c>
      <c r="N70">
        <v>3.79</v>
      </c>
      <c r="O70">
        <v>96.91</v>
      </c>
      <c r="P70">
        <v>15.6</v>
      </c>
      <c r="Q70">
        <v>638.5</v>
      </c>
      <c r="R70">
        <v>53</v>
      </c>
      <c r="S70">
        <v>0.8</v>
      </c>
      <c r="T70">
        <v>5175</v>
      </c>
      <c r="U70">
        <v>7187</v>
      </c>
      <c r="W70" s="39">
        <v>5.7750000000000004</v>
      </c>
      <c r="X70">
        <v>12</v>
      </c>
      <c r="Y70">
        <v>4266.8</v>
      </c>
      <c r="Z70">
        <v>23336</v>
      </c>
      <c r="AA70">
        <v>158.66999999999999</v>
      </c>
      <c r="AB70">
        <v>4.8600000000000003</v>
      </c>
      <c r="AD70">
        <v>5.9749999999999996</v>
      </c>
      <c r="AE70">
        <v>12</v>
      </c>
      <c r="AF70">
        <v>4729.7</v>
      </c>
      <c r="AG70">
        <v>29917</v>
      </c>
      <c r="AH70">
        <v>130.01</v>
      </c>
      <c r="AI70">
        <v>4.93</v>
      </c>
      <c r="AK70">
        <v>5.9749999999999996</v>
      </c>
      <c r="AL70">
        <v>12</v>
      </c>
      <c r="AM70">
        <v>4730.2</v>
      </c>
      <c r="AN70">
        <v>29921</v>
      </c>
      <c r="AO70">
        <v>101.21</v>
      </c>
      <c r="AP70">
        <v>4.93</v>
      </c>
      <c r="AR70">
        <v>5.9749999999999996</v>
      </c>
      <c r="AS70">
        <v>12</v>
      </c>
      <c r="AT70">
        <v>4729.8</v>
      </c>
      <c r="AU70">
        <v>29917</v>
      </c>
      <c r="AV70">
        <v>72.41</v>
      </c>
      <c r="AW70">
        <v>4.93</v>
      </c>
      <c r="AY70">
        <v>5.9749999999999996</v>
      </c>
      <c r="AZ70">
        <v>12</v>
      </c>
      <c r="BA70">
        <v>4232</v>
      </c>
      <c r="BB70">
        <v>25710</v>
      </c>
      <c r="BC70">
        <v>44.03</v>
      </c>
      <c r="BD70">
        <v>5.07</v>
      </c>
    </row>
    <row r="71" spans="2:110" ht="15" x14ac:dyDescent="0.35">
      <c r="B71" s="52" t="s">
        <v>60</v>
      </c>
      <c r="C71" s="1">
        <v>22.6</v>
      </c>
      <c r="D71" s="1">
        <v>22.2</v>
      </c>
      <c r="E71" s="1">
        <v>12</v>
      </c>
      <c r="F71" s="1">
        <v>7.19</v>
      </c>
      <c r="G71" s="1">
        <v>15.75</v>
      </c>
      <c r="H71" s="1">
        <v>4</v>
      </c>
      <c r="J71">
        <v>7.4</v>
      </c>
      <c r="K71">
        <v>36044</v>
      </c>
      <c r="L71">
        <v>25000</v>
      </c>
      <c r="M71">
        <v>99.91</v>
      </c>
      <c r="N71">
        <v>3.84</v>
      </c>
      <c r="O71">
        <v>96.77</v>
      </c>
      <c r="P71">
        <v>15.5</v>
      </c>
      <c r="Q71">
        <v>642</v>
      </c>
      <c r="R71">
        <v>53.1</v>
      </c>
      <c r="S71">
        <v>0.80100000000000005</v>
      </c>
      <c r="T71">
        <v>5184</v>
      </c>
      <c r="U71">
        <v>7230</v>
      </c>
      <c r="W71" s="39">
        <v>5.5750000000000002</v>
      </c>
      <c r="X71">
        <v>12.2</v>
      </c>
      <c r="Y71">
        <v>4104.6000000000004</v>
      </c>
      <c r="Z71">
        <v>23088</v>
      </c>
      <c r="AA71">
        <v>158.66</v>
      </c>
      <c r="AB71">
        <v>4.76</v>
      </c>
      <c r="AD71">
        <v>5.7750000000000004</v>
      </c>
      <c r="AE71">
        <v>12.2</v>
      </c>
      <c r="AF71">
        <v>4558.7</v>
      </c>
      <c r="AG71">
        <v>29697</v>
      </c>
      <c r="AH71">
        <v>130.01</v>
      </c>
      <c r="AI71">
        <v>4.83</v>
      </c>
      <c r="AK71">
        <v>5.7750000000000004</v>
      </c>
      <c r="AL71">
        <v>12.2</v>
      </c>
      <c r="AM71">
        <v>4559.1000000000004</v>
      </c>
      <c r="AN71">
        <v>29701</v>
      </c>
      <c r="AO71">
        <v>101.21</v>
      </c>
      <c r="AP71">
        <v>4.83</v>
      </c>
      <c r="AR71">
        <v>5.7750000000000004</v>
      </c>
      <c r="AS71">
        <v>12.2</v>
      </c>
      <c r="AT71">
        <v>4558.7</v>
      </c>
      <c r="AU71">
        <v>29697</v>
      </c>
      <c r="AV71">
        <v>72.41</v>
      </c>
      <c r="AW71">
        <v>4.83</v>
      </c>
      <c r="AY71">
        <v>5.7750000000000004</v>
      </c>
      <c r="AZ71">
        <v>12.2</v>
      </c>
      <c r="BA71">
        <v>4059.6</v>
      </c>
      <c r="BB71">
        <v>25239</v>
      </c>
      <c r="BC71">
        <v>44.06</v>
      </c>
      <c r="BD71">
        <v>4.96</v>
      </c>
    </row>
    <row r="72" spans="2:110" ht="15" x14ac:dyDescent="0.35">
      <c r="B72" s="52" t="s">
        <v>61</v>
      </c>
      <c r="C72" s="1">
        <v>22.6</v>
      </c>
      <c r="D72" s="1">
        <v>22.2</v>
      </c>
      <c r="E72" s="1">
        <v>13.6</v>
      </c>
      <c r="F72" s="1">
        <v>7.19</v>
      </c>
      <c r="G72" s="1">
        <v>15.75</v>
      </c>
      <c r="H72" s="1">
        <v>4</v>
      </c>
      <c r="J72">
        <v>7.5</v>
      </c>
      <c r="K72">
        <v>36576</v>
      </c>
      <c r="L72">
        <v>25532</v>
      </c>
      <c r="M72">
        <v>99.86</v>
      </c>
      <c r="N72">
        <v>3.89</v>
      </c>
      <c r="O72">
        <v>96.62</v>
      </c>
      <c r="P72">
        <v>15.41</v>
      </c>
      <c r="Q72">
        <v>645.5</v>
      </c>
      <c r="R72">
        <v>53.2</v>
      </c>
      <c r="S72">
        <v>0.80200000000000005</v>
      </c>
      <c r="T72">
        <v>5194</v>
      </c>
      <c r="U72">
        <v>7273</v>
      </c>
      <c r="W72" s="39">
        <v>5.375</v>
      </c>
      <c r="X72">
        <v>12.4</v>
      </c>
      <c r="Y72">
        <v>3942.4</v>
      </c>
      <c r="Z72">
        <v>22796</v>
      </c>
      <c r="AA72">
        <v>158.66</v>
      </c>
      <c r="AB72">
        <v>4.6500000000000004</v>
      </c>
      <c r="AD72">
        <v>5.5750000000000002</v>
      </c>
      <c r="AE72">
        <v>12.4</v>
      </c>
      <c r="AF72">
        <v>4387.7</v>
      </c>
      <c r="AG72">
        <v>29410</v>
      </c>
      <c r="AH72">
        <v>130.01</v>
      </c>
      <c r="AI72">
        <v>4.72</v>
      </c>
      <c r="AK72">
        <v>5.5750000000000002</v>
      </c>
      <c r="AL72">
        <v>12.4</v>
      </c>
      <c r="AM72">
        <v>4388</v>
      </c>
      <c r="AN72">
        <v>29414</v>
      </c>
      <c r="AO72">
        <v>101.21</v>
      </c>
      <c r="AP72">
        <v>4.72</v>
      </c>
      <c r="AR72">
        <v>5.5750000000000002</v>
      </c>
      <c r="AS72">
        <v>12.4</v>
      </c>
      <c r="AT72">
        <v>4387.7</v>
      </c>
      <c r="AU72">
        <v>29410</v>
      </c>
      <c r="AV72">
        <v>72.41</v>
      </c>
      <c r="AW72">
        <v>4.72</v>
      </c>
      <c r="AY72">
        <v>5.5750000000000002</v>
      </c>
      <c r="AZ72">
        <v>12.4</v>
      </c>
      <c r="BA72">
        <v>3888</v>
      </c>
      <c r="BB72">
        <v>24731</v>
      </c>
      <c r="BC72">
        <v>44.09</v>
      </c>
      <c r="BD72">
        <v>4.8499999999999996</v>
      </c>
    </row>
    <row r="73" spans="2:110" ht="15" x14ac:dyDescent="0.35">
      <c r="B73" s="18"/>
      <c r="C73" s="2"/>
      <c r="D73" s="2"/>
      <c r="E73" s="2"/>
      <c r="F73" s="2"/>
      <c r="G73" s="2"/>
      <c r="H73" s="2"/>
      <c r="J73">
        <v>7.6</v>
      </c>
      <c r="K73">
        <v>37110</v>
      </c>
      <c r="L73">
        <v>26065</v>
      </c>
      <c r="M73">
        <v>99.81</v>
      </c>
      <c r="N73">
        <v>3.94</v>
      </c>
      <c r="O73">
        <v>96.47</v>
      </c>
      <c r="P73">
        <v>15.32</v>
      </c>
      <c r="Q73">
        <v>649</v>
      </c>
      <c r="R73">
        <v>53.3</v>
      </c>
      <c r="S73">
        <v>0.80300000000000005</v>
      </c>
      <c r="T73">
        <v>5204</v>
      </c>
      <c r="U73">
        <v>7316</v>
      </c>
      <c r="W73" s="39">
        <v>5.1749999999999998</v>
      </c>
      <c r="X73">
        <v>12.6</v>
      </c>
      <c r="Y73">
        <v>3780.2</v>
      </c>
      <c r="Z73">
        <v>22460</v>
      </c>
      <c r="AA73">
        <v>158.66</v>
      </c>
      <c r="AB73">
        <v>4.55</v>
      </c>
      <c r="AD73">
        <v>5.375</v>
      </c>
      <c r="AE73">
        <v>12.6</v>
      </c>
      <c r="AF73">
        <v>4216.6000000000004</v>
      </c>
      <c r="AG73">
        <v>29051</v>
      </c>
      <c r="AH73">
        <v>130.01</v>
      </c>
      <c r="AI73">
        <v>4.62</v>
      </c>
      <c r="AK73">
        <v>5.375</v>
      </c>
      <c r="AL73">
        <v>12.6</v>
      </c>
      <c r="AM73">
        <v>4216.8999999999996</v>
      </c>
      <c r="AN73">
        <v>29055</v>
      </c>
      <c r="AO73">
        <v>101.21</v>
      </c>
      <c r="AP73">
        <v>4.62</v>
      </c>
      <c r="AR73">
        <v>5.375</v>
      </c>
      <c r="AS73">
        <v>12.6</v>
      </c>
      <c r="AT73">
        <v>4216.6000000000004</v>
      </c>
      <c r="AU73">
        <v>29051</v>
      </c>
      <c r="AV73">
        <v>72.41</v>
      </c>
      <c r="AW73">
        <v>4.62</v>
      </c>
      <c r="AY73">
        <v>5.375</v>
      </c>
      <c r="AZ73">
        <v>12.6</v>
      </c>
      <c r="BA73">
        <v>3717.3</v>
      </c>
      <c r="BB73">
        <v>24185</v>
      </c>
      <c r="BC73">
        <v>44.12</v>
      </c>
      <c r="BD73">
        <v>4.74</v>
      </c>
    </row>
    <row r="74" spans="2:110" ht="15" x14ac:dyDescent="0.35">
      <c r="B74" s="52" t="s">
        <v>62</v>
      </c>
      <c r="C74" s="20">
        <v>234.3</v>
      </c>
      <c r="D74" s="20">
        <v>229.6</v>
      </c>
      <c r="E74" s="20">
        <v>14.03</v>
      </c>
      <c r="F74" s="20">
        <v>10.44</v>
      </c>
      <c r="G74" s="20">
        <v>15.68</v>
      </c>
      <c r="H74" s="18"/>
      <c r="J74">
        <v>7.7</v>
      </c>
      <c r="K74">
        <v>37642</v>
      </c>
      <c r="L74">
        <v>26598</v>
      </c>
      <c r="M74">
        <v>99.76</v>
      </c>
      <c r="N74">
        <v>4</v>
      </c>
      <c r="O74">
        <v>96.32</v>
      </c>
      <c r="P74">
        <v>15.23</v>
      </c>
      <c r="Q74">
        <v>652.70000000000005</v>
      </c>
      <c r="R74">
        <v>53.4</v>
      </c>
      <c r="S74">
        <v>0.80400000000000005</v>
      </c>
      <c r="T74">
        <v>5214</v>
      </c>
      <c r="U74">
        <v>7359</v>
      </c>
      <c r="W74" s="39">
        <v>4.9749999999999996</v>
      </c>
      <c r="X74">
        <v>12.8</v>
      </c>
      <c r="Y74">
        <v>3618</v>
      </c>
      <c r="Z74">
        <v>22084</v>
      </c>
      <c r="AA74">
        <v>158.65</v>
      </c>
      <c r="AB74">
        <v>4.4400000000000004</v>
      </c>
      <c r="AD74">
        <v>5.1749999999999998</v>
      </c>
      <c r="AE74">
        <v>12.8</v>
      </c>
      <c r="AF74">
        <v>4045.6</v>
      </c>
      <c r="AG74">
        <v>28619</v>
      </c>
      <c r="AH74">
        <v>130.01</v>
      </c>
      <c r="AI74">
        <v>4.51</v>
      </c>
      <c r="AK74">
        <v>5.1749999999999998</v>
      </c>
      <c r="AL74">
        <v>12.8</v>
      </c>
      <c r="AM74">
        <v>4045.9</v>
      </c>
      <c r="AN74">
        <v>28622</v>
      </c>
      <c r="AO74">
        <v>101.21</v>
      </c>
      <c r="AP74">
        <v>4.51</v>
      </c>
      <c r="AR74">
        <v>5.1749999999999998</v>
      </c>
      <c r="AS74">
        <v>12.8</v>
      </c>
      <c r="AT74">
        <v>4045.6</v>
      </c>
      <c r="AU74">
        <v>28619</v>
      </c>
      <c r="AV74">
        <v>72.41</v>
      </c>
      <c r="AW74">
        <v>4.51</v>
      </c>
      <c r="AY74">
        <v>5.1749999999999998</v>
      </c>
      <c r="AZ74">
        <v>12.8</v>
      </c>
      <c r="BA74">
        <v>3547.4</v>
      </c>
      <c r="BB74">
        <v>23604</v>
      </c>
      <c r="BC74">
        <v>44.15</v>
      </c>
      <c r="BD74">
        <v>4.62</v>
      </c>
    </row>
    <row r="75" spans="2:110" ht="15" x14ac:dyDescent="0.35">
      <c r="J75">
        <v>7.8</v>
      </c>
      <c r="K75">
        <v>38177</v>
      </c>
      <c r="L75">
        <v>27133</v>
      </c>
      <c r="M75">
        <v>99.71</v>
      </c>
      <c r="N75">
        <v>4.05</v>
      </c>
      <c r="O75">
        <v>96.16</v>
      </c>
      <c r="P75">
        <v>15.15</v>
      </c>
      <c r="Q75">
        <v>656.5</v>
      </c>
      <c r="R75">
        <v>53.5</v>
      </c>
      <c r="S75">
        <v>0.80500000000000005</v>
      </c>
      <c r="T75">
        <v>5224</v>
      </c>
      <c r="U75">
        <v>7403</v>
      </c>
      <c r="W75" s="39">
        <v>4.7750000000000004</v>
      </c>
      <c r="X75">
        <v>13</v>
      </c>
      <c r="Y75">
        <v>3455.8</v>
      </c>
      <c r="Z75">
        <v>21670</v>
      </c>
      <c r="AA75">
        <v>158.65</v>
      </c>
      <c r="AB75">
        <v>4.34</v>
      </c>
      <c r="AD75">
        <v>4.9749999999999996</v>
      </c>
      <c r="AE75">
        <v>13</v>
      </c>
      <c r="AF75">
        <v>3874.6</v>
      </c>
      <c r="AG75">
        <v>28121</v>
      </c>
      <c r="AH75">
        <v>130.01</v>
      </c>
      <c r="AI75">
        <v>4.41</v>
      </c>
      <c r="AK75">
        <v>4.9749999999999996</v>
      </c>
      <c r="AL75">
        <v>13</v>
      </c>
      <c r="AM75">
        <v>3874.8</v>
      </c>
      <c r="AN75">
        <v>28124</v>
      </c>
      <c r="AO75">
        <v>101.21</v>
      </c>
      <c r="AP75">
        <v>4.41</v>
      </c>
      <c r="AR75">
        <v>4.9749999999999996</v>
      </c>
      <c r="AS75">
        <v>13</v>
      </c>
      <c r="AT75">
        <v>3874.6</v>
      </c>
      <c r="AU75">
        <v>28121</v>
      </c>
      <c r="AV75">
        <v>72.41</v>
      </c>
      <c r="AW75">
        <v>4.41</v>
      </c>
      <c r="AY75">
        <v>4.9749999999999996</v>
      </c>
      <c r="AZ75">
        <v>13</v>
      </c>
      <c r="BA75">
        <v>3378.5</v>
      </c>
      <c r="BB75">
        <v>22998</v>
      </c>
      <c r="BC75">
        <v>44.17</v>
      </c>
      <c r="BD75">
        <v>4.51</v>
      </c>
    </row>
    <row r="76" spans="2:110" ht="15" x14ac:dyDescent="0.35">
      <c r="J76">
        <v>7.9</v>
      </c>
      <c r="K76">
        <v>38713</v>
      </c>
      <c r="L76">
        <v>27669</v>
      </c>
      <c r="M76">
        <v>99.66</v>
      </c>
      <c r="N76">
        <v>4.0999999999999996</v>
      </c>
      <c r="O76">
        <v>95.99</v>
      </c>
      <c r="P76">
        <v>15.07</v>
      </c>
      <c r="Q76">
        <v>660.4</v>
      </c>
      <c r="R76">
        <v>53.7</v>
      </c>
      <c r="S76">
        <v>0.80600000000000005</v>
      </c>
      <c r="T76">
        <v>5235</v>
      </c>
      <c r="U76">
        <v>7447</v>
      </c>
      <c r="W76" s="39">
        <v>4.5750000000000002</v>
      </c>
      <c r="X76">
        <v>13.2</v>
      </c>
      <c r="Y76">
        <v>3293.6</v>
      </c>
      <c r="Z76">
        <v>21217</v>
      </c>
      <c r="AA76">
        <v>158.65</v>
      </c>
      <c r="AB76">
        <v>4.2300000000000004</v>
      </c>
      <c r="AD76">
        <v>4.7750000000000004</v>
      </c>
      <c r="AE76">
        <v>13.2</v>
      </c>
      <c r="AF76">
        <v>3703.5</v>
      </c>
      <c r="AG76">
        <v>27567</v>
      </c>
      <c r="AH76">
        <v>130.01</v>
      </c>
      <c r="AI76">
        <v>4.3</v>
      </c>
      <c r="AK76">
        <v>4.7750000000000004</v>
      </c>
      <c r="AL76">
        <v>13.2</v>
      </c>
      <c r="AM76">
        <v>3703.7</v>
      </c>
      <c r="AN76">
        <v>27570</v>
      </c>
      <c r="AO76">
        <v>101.21</v>
      </c>
      <c r="AP76">
        <v>4.3</v>
      </c>
      <c r="AR76">
        <v>4.7750000000000004</v>
      </c>
      <c r="AS76">
        <v>13.2</v>
      </c>
      <c r="AT76">
        <v>3703.5</v>
      </c>
      <c r="AU76">
        <v>27567</v>
      </c>
      <c r="AV76">
        <v>72.41</v>
      </c>
      <c r="AW76">
        <v>4.3</v>
      </c>
      <c r="AY76">
        <v>4.7750000000000004</v>
      </c>
      <c r="AZ76">
        <v>13.2</v>
      </c>
      <c r="BA76">
        <v>3210.5</v>
      </c>
      <c r="BB76">
        <v>22359</v>
      </c>
      <c r="BC76">
        <v>44.2</v>
      </c>
      <c r="BD76">
        <v>4.4000000000000004</v>
      </c>
    </row>
    <row r="77" spans="2:110" ht="15" x14ac:dyDescent="0.35">
      <c r="J77">
        <v>8</v>
      </c>
      <c r="K77">
        <v>39251</v>
      </c>
      <c r="L77">
        <v>28206</v>
      </c>
      <c r="M77">
        <v>99.61</v>
      </c>
      <c r="N77">
        <v>4.1500000000000004</v>
      </c>
      <c r="O77">
        <v>95.83</v>
      </c>
      <c r="P77">
        <v>15</v>
      </c>
      <c r="Q77">
        <v>664.4</v>
      </c>
      <c r="R77">
        <v>53.8</v>
      </c>
      <c r="S77">
        <v>0.80700000000000005</v>
      </c>
      <c r="T77">
        <v>5245</v>
      </c>
      <c r="U77">
        <v>7491</v>
      </c>
      <c r="W77" s="39">
        <v>4.375</v>
      </c>
      <c r="X77">
        <v>13.4</v>
      </c>
      <c r="Y77">
        <v>3131.4</v>
      </c>
      <c r="Z77">
        <v>20723</v>
      </c>
      <c r="AA77">
        <v>158.63999999999999</v>
      </c>
      <c r="AB77">
        <v>4.12</v>
      </c>
      <c r="AD77">
        <v>4.5750000000000002</v>
      </c>
      <c r="AE77">
        <v>13.4</v>
      </c>
      <c r="AF77">
        <v>3532.5</v>
      </c>
      <c r="AG77">
        <v>26960</v>
      </c>
      <c r="AH77">
        <v>130</v>
      </c>
      <c r="AI77">
        <v>4.2</v>
      </c>
      <c r="AK77">
        <v>4.5750000000000002</v>
      </c>
      <c r="AL77">
        <v>13.4</v>
      </c>
      <c r="AM77">
        <v>3532.6</v>
      </c>
      <c r="AN77">
        <v>26962</v>
      </c>
      <c r="AO77">
        <v>101.21</v>
      </c>
      <c r="AP77">
        <v>4.2</v>
      </c>
      <c r="AR77">
        <v>4.5750000000000002</v>
      </c>
      <c r="AS77">
        <v>13.4</v>
      </c>
      <c r="AT77">
        <v>3532.5</v>
      </c>
      <c r="AU77">
        <v>26960</v>
      </c>
      <c r="AV77">
        <v>72.41</v>
      </c>
      <c r="AW77">
        <v>4.2</v>
      </c>
      <c r="AY77">
        <v>4.5750000000000002</v>
      </c>
      <c r="AZ77">
        <v>13.4</v>
      </c>
      <c r="BA77">
        <v>3044.6</v>
      </c>
      <c r="BB77">
        <v>21686</v>
      </c>
      <c r="BC77">
        <v>44.22</v>
      </c>
      <c r="BD77">
        <v>4.29</v>
      </c>
    </row>
    <row r="78" spans="2:110" ht="15" x14ac:dyDescent="0.35">
      <c r="J78">
        <v>8.1</v>
      </c>
      <c r="K78">
        <v>39789</v>
      </c>
      <c r="L78">
        <v>28745</v>
      </c>
      <c r="M78">
        <v>99.56</v>
      </c>
      <c r="N78">
        <v>4.21</v>
      </c>
      <c r="O78">
        <v>95.65</v>
      </c>
      <c r="P78">
        <v>14.93</v>
      </c>
      <c r="Q78">
        <v>668.5</v>
      </c>
      <c r="R78">
        <v>53.9</v>
      </c>
      <c r="S78">
        <v>0.80800000000000005</v>
      </c>
      <c r="T78">
        <v>5256</v>
      </c>
      <c r="U78">
        <v>7535</v>
      </c>
      <c r="W78" s="39">
        <v>4.1749999999999998</v>
      </c>
      <c r="X78">
        <v>13.6</v>
      </c>
      <c r="Y78">
        <v>2969.2</v>
      </c>
      <c r="Z78">
        <v>20186</v>
      </c>
      <c r="AA78">
        <v>158.63999999999999</v>
      </c>
      <c r="AB78">
        <v>4.0199999999999996</v>
      </c>
      <c r="AD78">
        <v>4.375</v>
      </c>
      <c r="AE78">
        <v>13.6</v>
      </c>
      <c r="AF78">
        <v>3361.5</v>
      </c>
      <c r="AG78">
        <v>26296</v>
      </c>
      <c r="AH78">
        <v>130</v>
      </c>
      <c r="AI78">
        <v>4.09</v>
      </c>
      <c r="AK78">
        <v>4.375</v>
      </c>
      <c r="AL78">
        <v>13.6</v>
      </c>
      <c r="AM78">
        <v>3361.6</v>
      </c>
      <c r="AN78">
        <v>26298</v>
      </c>
      <c r="AO78">
        <v>101.2</v>
      </c>
      <c r="AP78">
        <v>4.09</v>
      </c>
      <c r="AR78">
        <v>4.375</v>
      </c>
      <c r="AS78">
        <v>13.6</v>
      </c>
      <c r="AT78">
        <v>3361.5</v>
      </c>
      <c r="AU78">
        <v>26296</v>
      </c>
      <c r="AV78">
        <v>72.400000000000006</v>
      </c>
      <c r="AW78">
        <v>4.09</v>
      </c>
      <c r="AY78">
        <v>4.375</v>
      </c>
      <c r="AZ78">
        <v>13.6</v>
      </c>
      <c r="BA78">
        <v>2880.9</v>
      </c>
      <c r="BB78">
        <v>20980</v>
      </c>
      <c r="BC78">
        <v>44.25</v>
      </c>
      <c r="BD78">
        <v>4.17</v>
      </c>
    </row>
    <row r="79" spans="2:110" ht="15" x14ac:dyDescent="0.35">
      <c r="B79" s="54" t="s">
        <v>63</v>
      </c>
      <c r="C79" s="52" t="s">
        <v>13</v>
      </c>
      <c r="D79" s="52" t="s">
        <v>14</v>
      </c>
      <c r="E79" s="52" t="s">
        <v>15</v>
      </c>
      <c r="F79" s="52" t="s">
        <v>16</v>
      </c>
      <c r="G79" s="52" t="s">
        <v>17</v>
      </c>
      <c r="H79" s="52" t="s">
        <v>18</v>
      </c>
      <c r="J79">
        <v>8.1999999999999993</v>
      </c>
      <c r="K79">
        <v>40328</v>
      </c>
      <c r="L79">
        <v>29284</v>
      </c>
      <c r="M79">
        <v>99.51</v>
      </c>
      <c r="N79">
        <v>4.26</v>
      </c>
      <c r="O79">
        <v>95.48</v>
      </c>
      <c r="P79">
        <v>14.86</v>
      </c>
      <c r="Q79">
        <v>672.7</v>
      </c>
      <c r="R79">
        <v>54</v>
      </c>
      <c r="S79">
        <v>0.80900000000000005</v>
      </c>
      <c r="T79">
        <v>5267</v>
      </c>
      <c r="U79">
        <v>7579</v>
      </c>
      <c r="W79" s="39">
        <v>3.9750000000000001</v>
      </c>
      <c r="X79">
        <v>13.8</v>
      </c>
      <c r="Y79">
        <v>2806.9</v>
      </c>
      <c r="Z79">
        <v>19604</v>
      </c>
      <c r="AA79">
        <v>158.63</v>
      </c>
      <c r="AB79">
        <v>3.91</v>
      </c>
      <c r="AD79">
        <v>4.1749999999999998</v>
      </c>
      <c r="AE79">
        <v>13.8</v>
      </c>
      <c r="AF79">
        <v>3190.4</v>
      </c>
      <c r="AG79">
        <v>25580</v>
      </c>
      <c r="AH79">
        <v>130</v>
      </c>
      <c r="AI79">
        <v>3.98</v>
      </c>
      <c r="AK79">
        <v>4.1749999999999998</v>
      </c>
      <c r="AL79">
        <v>13.8</v>
      </c>
      <c r="AM79">
        <v>3190.5</v>
      </c>
      <c r="AN79">
        <v>25581</v>
      </c>
      <c r="AO79">
        <v>101.2</v>
      </c>
      <c r="AP79">
        <v>3.98</v>
      </c>
      <c r="AR79">
        <v>4.1749999999999998</v>
      </c>
      <c r="AS79">
        <v>13.8</v>
      </c>
      <c r="AT79">
        <v>3190.4</v>
      </c>
      <c r="AU79">
        <v>25580</v>
      </c>
      <c r="AV79">
        <v>72.400000000000006</v>
      </c>
      <c r="AW79">
        <v>3.98</v>
      </c>
      <c r="AY79">
        <v>4.1749999999999998</v>
      </c>
      <c r="AZ79">
        <v>13.8</v>
      </c>
      <c r="BA79">
        <v>2719.4</v>
      </c>
      <c r="BB79">
        <v>20241</v>
      </c>
      <c r="BC79">
        <v>44.26</v>
      </c>
      <c r="BD79">
        <v>4.0599999999999996</v>
      </c>
    </row>
    <row r="80" spans="2:110" ht="15" x14ac:dyDescent="0.35">
      <c r="B80" s="52" t="s">
        <v>65</v>
      </c>
      <c r="C80" s="1">
        <v>17.100000000000001</v>
      </c>
      <c r="D80" s="1">
        <v>16.8</v>
      </c>
      <c r="E80" s="1">
        <v>6.81</v>
      </c>
      <c r="F80" s="1">
        <v>8.43</v>
      </c>
      <c r="G80" s="1">
        <v>11.77</v>
      </c>
      <c r="H80" s="1">
        <v>29</v>
      </c>
      <c r="J80">
        <v>8.3000000000000007</v>
      </c>
      <c r="K80">
        <v>40869</v>
      </c>
      <c r="L80">
        <v>29824</v>
      </c>
      <c r="M80">
        <v>99.45</v>
      </c>
      <c r="N80">
        <v>4.3099999999999996</v>
      </c>
      <c r="O80">
        <v>95.3</v>
      </c>
      <c r="P80">
        <v>14.79</v>
      </c>
      <c r="Q80">
        <v>676.8</v>
      </c>
      <c r="R80">
        <v>54.1</v>
      </c>
      <c r="S80">
        <v>0.81</v>
      </c>
      <c r="T80">
        <v>5278</v>
      </c>
      <c r="U80">
        <v>7624</v>
      </c>
      <c r="W80" s="39">
        <v>3.7749999999999999</v>
      </c>
      <c r="X80">
        <v>14</v>
      </c>
      <c r="Y80">
        <v>2644.7</v>
      </c>
      <c r="Z80">
        <v>18971</v>
      </c>
      <c r="AA80">
        <v>158.62</v>
      </c>
      <c r="AB80">
        <v>3.8</v>
      </c>
      <c r="AD80">
        <v>3.9750000000000001</v>
      </c>
      <c r="AE80">
        <v>14</v>
      </c>
      <c r="AF80">
        <v>3019.4</v>
      </c>
      <c r="AG80">
        <v>24806</v>
      </c>
      <c r="AH80">
        <v>130</v>
      </c>
      <c r="AI80">
        <v>3.87</v>
      </c>
      <c r="AK80">
        <v>3.9750000000000001</v>
      </c>
      <c r="AL80">
        <v>14</v>
      </c>
      <c r="AM80">
        <v>3019.4</v>
      </c>
      <c r="AN80">
        <v>24807</v>
      </c>
      <c r="AO80">
        <v>101.2</v>
      </c>
      <c r="AP80">
        <v>3.87</v>
      </c>
      <c r="AR80">
        <v>3.9750000000000001</v>
      </c>
      <c r="AS80">
        <v>14</v>
      </c>
      <c r="AT80">
        <v>3019.4</v>
      </c>
      <c r="AU80">
        <v>24806</v>
      </c>
      <c r="AV80">
        <v>72.400000000000006</v>
      </c>
      <c r="AW80">
        <v>3.87</v>
      </c>
      <c r="AY80">
        <v>3.9750000000000001</v>
      </c>
      <c r="AZ80">
        <v>14</v>
      </c>
      <c r="BA80">
        <v>2560.1999999999998</v>
      </c>
      <c r="BB80">
        <v>19470</v>
      </c>
      <c r="BC80">
        <v>44.28</v>
      </c>
      <c r="BD80">
        <v>3.94</v>
      </c>
    </row>
    <row r="81" spans="2:56" ht="15" x14ac:dyDescent="0.35">
      <c r="B81" s="52" t="s">
        <v>66</v>
      </c>
      <c r="C81" s="1">
        <v>18.7</v>
      </c>
      <c r="D81" s="1">
        <v>18.399999999999999</v>
      </c>
      <c r="E81" s="1">
        <v>7.61</v>
      </c>
      <c r="F81" s="1">
        <v>8.57</v>
      </c>
      <c r="G81" s="1">
        <v>11.69</v>
      </c>
      <c r="H81" s="1">
        <v>33</v>
      </c>
      <c r="J81">
        <v>8.4</v>
      </c>
      <c r="K81">
        <v>41410</v>
      </c>
      <c r="L81">
        <v>30366</v>
      </c>
      <c r="M81">
        <v>99.4</v>
      </c>
      <c r="N81">
        <v>4.37</v>
      </c>
      <c r="O81">
        <v>95.13</v>
      </c>
      <c r="P81">
        <v>14.73</v>
      </c>
      <c r="Q81">
        <v>680.9</v>
      </c>
      <c r="R81">
        <v>54.2</v>
      </c>
      <c r="S81">
        <v>0.81100000000000005</v>
      </c>
      <c r="T81">
        <v>5288</v>
      </c>
      <c r="U81">
        <v>7669</v>
      </c>
      <c r="W81" s="39">
        <v>3.5750000000000002</v>
      </c>
      <c r="X81">
        <v>14.2</v>
      </c>
      <c r="Y81">
        <v>2486.3000000000002</v>
      </c>
      <c r="Z81">
        <v>18338</v>
      </c>
      <c r="AA81">
        <v>158.6</v>
      </c>
      <c r="AB81">
        <v>3.69</v>
      </c>
      <c r="AD81">
        <v>3.7749999999999999</v>
      </c>
      <c r="AE81">
        <v>14.2</v>
      </c>
      <c r="AF81">
        <v>2848.3</v>
      </c>
      <c r="AG81">
        <v>23966</v>
      </c>
      <c r="AH81">
        <v>130</v>
      </c>
      <c r="AI81">
        <v>3.76</v>
      </c>
      <c r="AK81">
        <v>3.7749999999999999</v>
      </c>
      <c r="AL81">
        <v>14.2</v>
      </c>
      <c r="AM81">
        <v>2848.4</v>
      </c>
      <c r="AN81">
        <v>23966</v>
      </c>
      <c r="AO81">
        <v>101.2</v>
      </c>
      <c r="AP81">
        <v>3.76</v>
      </c>
      <c r="AR81">
        <v>3.7749999999999999</v>
      </c>
      <c r="AS81">
        <v>14.2</v>
      </c>
      <c r="AT81">
        <v>2848.3</v>
      </c>
      <c r="AU81">
        <v>23966</v>
      </c>
      <c r="AV81">
        <v>72.400000000000006</v>
      </c>
      <c r="AW81">
        <v>3.76</v>
      </c>
      <c r="AY81">
        <v>3.7749999999999999</v>
      </c>
      <c r="AZ81">
        <v>14.2</v>
      </c>
      <c r="BA81">
        <v>2403.3000000000002</v>
      </c>
      <c r="BB81">
        <v>18660</v>
      </c>
      <c r="BC81">
        <v>44.29</v>
      </c>
      <c r="BD81">
        <v>3.83</v>
      </c>
    </row>
    <row r="82" spans="2:56" ht="15" x14ac:dyDescent="0.35">
      <c r="B82" s="52" t="s">
        <v>67</v>
      </c>
      <c r="C82" s="1">
        <v>20.2</v>
      </c>
      <c r="D82" s="1">
        <v>19.8</v>
      </c>
      <c r="E82" s="1">
        <v>8.4</v>
      </c>
      <c r="F82" s="1">
        <v>8.7200000000000006</v>
      </c>
      <c r="G82" s="1">
        <v>11.63</v>
      </c>
      <c r="H82" s="1">
        <v>36</v>
      </c>
      <c r="J82">
        <v>8.5</v>
      </c>
      <c r="K82">
        <v>41953</v>
      </c>
      <c r="L82">
        <v>30909</v>
      </c>
      <c r="M82">
        <v>99.34</v>
      </c>
      <c r="N82">
        <v>4.42</v>
      </c>
      <c r="O82">
        <v>94.95</v>
      </c>
      <c r="P82">
        <v>14.67</v>
      </c>
      <c r="Q82">
        <v>685</v>
      </c>
      <c r="R82">
        <v>54.3</v>
      </c>
      <c r="S82">
        <v>0.81200000000000006</v>
      </c>
      <c r="T82">
        <v>5299</v>
      </c>
      <c r="U82">
        <v>7713</v>
      </c>
      <c r="W82" s="39">
        <v>3.375</v>
      </c>
      <c r="X82">
        <v>14.4</v>
      </c>
      <c r="Y82">
        <v>2330.8000000000002</v>
      </c>
      <c r="Z82">
        <v>17682</v>
      </c>
      <c r="AA82">
        <v>158.57</v>
      </c>
      <c r="AB82">
        <v>3.58</v>
      </c>
      <c r="AD82">
        <v>3.5750000000000002</v>
      </c>
      <c r="AE82">
        <v>14.4</v>
      </c>
      <c r="AF82">
        <v>2682.1</v>
      </c>
      <c r="AG82">
        <v>23134</v>
      </c>
      <c r="AH82">
        <v>130</v>
      </c>
      <c r="AI82">
        <v>3.66</v>
      </c>
      <c r="AK82">
        <v>3.5750000000000002</v>
      </c>
      <c r="AL82">
        <v>14.4</v>
      </c>
      <c r="AM82">
        <v>2682.1</v>
      </c>
      <c r="AN82">
        <v>23134</v>
      </c>
      <c r="AO82">
        <v>101.2</v>
      </c>
      <c r="AP82">
        <v>3.66</v>
      </c>
      <c r="AR82">
        <v>3.5750000000000002</v>
      </c>
      <c r="AS82">
        <v>14.4</v>
      </c>
      <c r="AT82">
        <v>2682.1</v>
      </c>
      <c r="AU82">
        <v>23134</v>
      </c>
      <c r="AV82">
        <v>72.400000000000006</v>
      </c>
      <c r="AW82">
        <v>3.66</v>
      </c>
      <c r="AY82">
        <v>3.5750000000000002</v>
      </c>
      <c r="AZ82">
        <v>14.4</v>
      </c>
      <c r="BA82">
        <v>2251</v>
      </c>
      <c r="BB82">
        <v>17854</v>
      </c>
      <c r="BC82">
        <v>44.33</v>
      </c>
      <c r="BD82">
        <v>3.72</v>
      </c>
    </row>
    <row r="83" spans="2:56" ht="15" x14ac:dyDescent="0.35">
      <c r="B83" s="52" t="s">
        <v>68</v>
      </c>
      <c r="C83" s="1">
        <v>44.4</v>
      </c>
      <c r="D83" s="1">
        <v>43.6</v>
      </c>
      <c r="E83" s="1">
        <v>9.6199999999999992</v>
      </c>
      <c r="F83" s="1">
        <v>8.94</v>
      </c>
      <c r="G83" s="1">
        <v>11.56</v>
      </c>
      <c r="H83" s="1">
        <v>81</v>
      </c>
      <c r="J83">
        <v>8.6</v>
      </c>
      <c r="K83">
        <v>42496</v>
      </c>
      <c r="L83">
        <v>31452</v>
      </c>
      <c r="M83">
        <v>99.28</v>
      </c>
      <c r="N83">
        <v>4.47</v>
      </c>
      <c r="O83">
        <v>94.77</v>
      </c>
      <c r="P83">
        <v>14.61</v>
      </c>
      <c r="Q83">
        <v>689.2</v>
      </c>
      <c r="R83">
        <v>54.4</v>
      </c>
      <c r="S83">
        <v>0.81299999999999994</v>
      </c>
      <c r="T83">
        <v>5310</v>
      </c>
      <c r="U83">
        <v>7758</v>
      </c>
      <c r="W83" s="39">
        <v>3.1749999999999998</v>
      </c>
      <c r="X83">
        <v>14.6</v>
      </c>
      <c r="Y83">
        <v>2177.1</v>
      </c>
      <c r="Z83">
        <v>16984</v>
      </c>
      <c r="AA83">
        <v>158.54</v>
      </c>
      <c r="AB83">
        <v>3.47</v>
      </c>
      <c r="AD83">
        <v>3.375</v>
      </c>
      <c r="AE83">
        <v>14.6</v>
      </c>
      <c r="AF83">
        <v>2518.4</v>
      </c>
      <c r="AG83">
        <v>22277</v>
      </c>
      <c r="AH83">
        <v>130</v>
      </c>
      <c r="AI83">
        <v>3.55</v>
      </c>
      <c r="AK83">
        <v>3.375</v>
      </c>
      <c r="AL83">
        <v>14.6</v>
      </c>
      <c r="AM83">
        <v>2518.4</v>
      </c>
      <c r="AN83">
        <v>22277</v>
      </c>
      <c r="AO83">
        <v>101.2</v>
      </c>
      <c r="AP83">
        <v>3.55</v>
      </c>
      <c r="AR83">
        <v>3.375</v>
      </c>
      <c r="AS83">
        <v>14.6</v>
      </c>
      <c r="AT83">
        <v>2518.4</v>
      </c>
      <c r="AU83">
        <v>22277</v>
      </c>
      <c r="AV83">
        <v>72.400000000000006</v>
      </c>
      <c r="AW83">
        <v>3.55</v>
      </c>
      <c r="AY83">
        <v>3.375</v>
      </c>
      <c r="AZ83">
        <v>14.6</v>
      </c>
      <c r="BA83">
        <v>2102</v>
      </c>
      <c r="BB83">
        <v>17032</v>
      </c>
      <c r="BC83">
        <v>44.36</v>
      </c>
      <c r="BD83">
        <v>3.61</v>
      </c>
    </row>
    <row r="84" spans="2:56" ht="15" x14ac:dyDescent="0.35">
      <c r="B84" s="52" t="s">
        <v>69</v>
      </c>
      <c r="C84" s="1">
        <v>16.100000000000001</v>
      </c>
      <c r="D84" s="1">
        <v>15.8</v>
      </c>
      <c r="E84" s="1">
        <v>18</v>
      </c>
      <c r="F84" s="1">
        <v>0</v>
      </c>
      <c r="G84" s="1">
        <v>1.31</v>
      </c>
      <c r="H84" s="1">
        <v>7</v>
      </c>
      <c r="J84">
        <v>8.6999999999999993</v>
      </c>
      <c r="K84">
        <v>43041</v>
      </c>
      <c r="L84">
        <v>31997</v>
      </c>
      <c r="M84">
        <v>99.23</v>
      </c>
      <c r="N84">
        <v>4.5199999999999996</v>
      </c>
      <c r="O84">
        <v>94.65</v>
      </c>
      <c r="P84">
        <v>14.55</v>
      </c>
      <c r="Q84">
        <v>691.6</v>
      </c>
      <c r="R84">
        <v>54.5</v>
      </c>
      <c r="S84">
        <v>0.81399999999999995</v>
      </c>
      <c r="T84">
        <v>5317</v>
      </c>
      <c r="U84">
        <v>7805</v>
      </c>
      <c r="W84" s="39">
        <v>2.9750000000000001</v>
      </c>
      <c r="X84">
        <v>14.8</v>
      </c>
      <c r="Y84">
        <v>2025.3</v>
      </c>
      <c r="Z84">
        <v>16244</v>
      </c>
      <c r="AA84">
        <v>158.51</v>
      </c>
      <c r="AB84">
        <v>3.37</v>
      </c>
      <c r="AD84">
        <v>3.1749999999999998</v>
      </c>
      <c r="AE84">
        <v>14.8</v>
      </c>
      <c r="AF84">
        <v>2356.1</v>
      </c>
      <c r="AG84">
        <v>21363</v>
      </c>
      <c r="AH84">
        <v>130</v>
      </c>
      <c r="AI84">
        <v>3.45</v>
      </c>
      <c r="AK84">
        <v>3.1749999999999998</v>
      </c>
      <c r="AL84">
        <v>14.8</v>
      </c>
      <c r="AM84">
        <v>2356.1</v>
      </c>
      <c r="AN84">
        <v>21363</v>
      </c>
      <c r="AO84">
        <v>101.2</v>
      </c>
      <c r="AP84">
        <v>3.45</v>
      </c>
      <c r="AR84">
        <v>3.1749999999999998</v>
      </c>
      <c r="AS84">
        <v>14.8</v>
      </c>
      <c r="AT84">
        <v>2356.1</v>
      </c>
      <c r="AU84">
        <v>21363</v>
      </c>
      <c r="AV84">
        <v>72.400000000000006</v>
      </c>
      <c r="AW84">
        <v>3.45</v>
      </c>
      <c r="AY84">
        <v>3.1749999999999998</v>
      </c>
      <c r="AZ84">
        <v>14.8</v>
      </c>
      <c r="BA84">
        <v>1955.7</v>
      </c>
      <c r="BB84">
        <v>16179</v>
      </c>
      <c r="BC84">
        <v>44.4</v>
      </c>
      <c r="BD84">
        <v>3.5</v>
      </c>
    </row>
    <row r="85" spans="2:56" ht="15" x14ac:dyDescent="0.35">
      <c r="B85" s="52" t="s">
        <v>70</v>
      </c>
      <c r="C85" s="1">
        <v>4.3</v>
      </c>
      <c r="D85" s="1">
        <v>4.2</v>
      </c>
      <c r="E85" s="1">
        <v>2</v>
      </c>
      <c r="F85" s="1">
        <v>3.2</v>
      </c>
      <c r="G85" s="1">
        <v>15.65</v>
      </c>
      <c r="H85" s="1">
        <v>0</v>
      </c>
      <c r="J85">
        <v>8.8000000000000007</v>
      </c>
      <c r="K85">
        <v>43587</v>
      </c>
      <c r="L85">
        <v>32543</v>
      </c>
      <c r="M85">
        <v>99.17</v>
      </c>
      <c r="N85">
        <v>4.58</v>
      </c>
      <c r="O85">
        <v>94.14</v>
      </c>
      <c r="P85">
        <v>14.5</v>
      </c>
      <c r="Q85">
        <v>704.8</v>
      </c>
      <c r="R85">
        <v>54.8</v>
      </c>
      <c r="S85">
        <v>0.81499999999999995</v>
      </c>
      <c r="T85">
        <v>5346</v>
      </c>
      <c r="U85">
        <v>7868</v>
      </c>
      <c r="W85" s="39">
        <v>2.7749999999999999</v>
      </c>
      <c r="X85">
        <v>15</v>
      </c>
      <c r="Y85">
        <v>1875.3</v>
      </c>
      <c r="Z85">
        <v>15462</v>
      </c>
      <c r="AA85">
        <v>158.47999999999999</v>
      </c>
      <c r="AB85">
        <v>3.26</v>
      </c>
      <c r="AD85">
        <v>2.9750000000000001</v>
      </c>
      <c r="AE85">
        <v>15</v>
      </c>
      <c r="AF85">
        <v>2195</v>
      </c>
      <c r="AG85">
        <v>20403</v>
      </c>
      <c r="AH85">
        <v>130</v>
      </c>
      <c r="AI85">
        <v>3.34</v>
      </c>
      <c r="AK85">
        <v>2.9750000000000001</v>
      </c>
      <c r="AL85">
        <v>15</v>
      </c>
      <c r="AM85">
        <v>2195</v>
      </c>
      <c r="AN85">
        <v>20403</v>
      </c>
      <c r="AO85">
        <v>101.2</v>
      </c>
      <c r="AP85">
        <v>3.34</v>
      </c>
      <c r="AR85">
        <v>2.9750000000000001</v>
      </c>
      <c r="AS85">
        <v>15</v>
      </c>
      <c r="AT85">
        <v>2195</v>
      </c>
      <c r="AU85">
        <v>20403</v>
      </c>
      <c r="AV85">
        <v>72.400000000000006</v>
      </c>
      <c r="AW85">
        <v>3.34</v>
      </c>
      <c r="AY85">
        <v>2.9750000000000001</v>
      </c>
      <c r="AZ85">
        <v>15</v>
      </c>
      <c r="BA85">
        <v>1811.8</v>
      </c>
      <c r="BB85">
        <v>15296</v>
      </c>
      <c r="BC85">
        <v>44.44</v>
      </c>
      <c r="BD85">
        <v>3.39</v>
      </c>
    </row>
    <row r="86" spans="2:56" ht="15" x14ac:dyDescent="0.35">
      <c r="B86" s="52" t="s">
        <v>71</v>
      </c>
      <c r="C86" s="1">
        <v>4.3</v>
      </c>
      <c r="D86" s="1">
        <v>4.2</v>
      </c>
      <c r="E86" s="1">
        <v>2</v>
      </c>
      <c r="F86" s="1">
        <v>4.8</v>
      </c>
      <c r="G86" s="1">
        <v>15.65</v>
      </c>
      <c r="H86" s="1">
        <v>0</v>
      </c>
      <c r="J86">
        <v>8.9</v>
      </c>
      <c r="K86">
        <v>44136</v>
      </c>
      <c r="L86">
        <v>33092</v>
      </c>
      <c r="M86">
        <v>99.1</v>
      </c>
      <c r="N86">
        <v>4.63</v>
      </c>
      <c r="O86">
        <v>93.96</v>
      </c>
      <c r="P86">
        <v>14.45</v>
      </c>
      <c r="Q86">
        <v>708.9</v>
      </c>
      <c r="R86">
        <v>54.9</v>
      </c>
      <c r="S86">
        <v>0.81599999999999995</v>
      </c>
      <c r="T86">
        <v>5357</v>
      </c>
      <c r="U86">
        <v>7912</v>
      </c>
      <c r="W86" s="39">
        <v>2.5750000000000002</v>
      </c>
      <c r="X86">
        <v>15.2</v>
      </c>
      <c r="Y86">
        <v>1727.2</v>
      </c>
      <c r="Z86">
        <v>14636</v>
      </c>
      <c r="AA86">
        <v>158.44</v>
      </c>
      <c r="AB86">
        <v>3.16</v>
      </c>
      <c r="AD86">
        <v>2.7749999999999999</v>
      </c>
      <c r="AE86">
        <v>15.2</v>
      </c>
      <c r="AF86">
        <v>2035.2</v>
      </c>
      <c r="AG86">
        <v>19389</v>
      </c>
      <c r="AH86">
        <v>130</v>
      </c>
      <c r="AI86">
        <v>3.24</v>
      </c>
      <c r="AK86">
        <v>2.7749999999999999</v>
      </c>
      <c r="AL86">
        <v>15.2</v>
      </c>
      <c r="AM86">
        <v>2035.2</v>
      </c>
      <c r="AN86">
        <v>19389</v>
      </c>
      <c r="AO86">
        <v>101.2</v>
      </c>
      <c r="AP86">
        <v>3.24</v>
      </c>
      <c r="AR86">
        <v>2.7749999999999999</v>
      </c>
      <c r="AS86">
        <v>15.2</v>
      </c>
      <c r="AT86">
        <v>2035.2</v>
      </c>
      <c r="AU86">
        <v>19389</v>
      </c>
      <c r="AV86">
        <v>72.400000000000006</v>
      </c>
      <c r="AW86">
        <v>3.24</v>
      </c>
      <c r="AY86">
        <v>2.7749999999999999</v>
      </c>
      <c r="AZ86">
        <v>15.2</v>
      </c>
      <c r="BA86">
        <v>1670.6</v>
      </c>
      <c r="BB86">
        <v>14386</v>
      </c>
      <c r="BC86">
        <v>44.48</v>
      </c>
      <c r="BD86">
        <v>3.28</v>
      </c>
    </row>
    <row r="87" spans="2:56" ht="15" x14ac:dyDescent="0.35">
      <c r="B87" s="52" t="s">
        <v>72</v>
      </c>
      <c r="C87" s="1">
        <v>2</v>
      </c>
      <c r="D87" s="1">
        <v>2</v>
      </c>
      <c r="E87" s="1">
        <v>1.2</v>
      </c>
      <c r="F87" s="1">
        <v>-2.9</v>
      </c>
      <c r="G87" s="1">
        <v>14.8</v>
      </c>
      <c r="H87" s="1">
        <v>0</v>
      </c>
      <c r="J87">
        <v>9</v>
      </c>
      <c r="K87">
        <v>44685</v>
      </c>
      <c r="L87">
        <v>33641</v>
      </c>
      <c r="M87">
        <v>99.04</v>
      </c>
      <c r="N87">
        <v>4.68</v>
      </c>
      <c r="O87">
        <v>93.78</v>
      </c>
      <c r="P87">
        <v>14.4</v>
      </c>
      <c r="Q87">
        <v>712.9</v>
      </c>
      <c r="R87">
        <v>55</v>
      </c>
      <c r="S87">
        <v>0.81699999999999995</v>
      </c>
      <c r="T87">
        <v>5367</v>
      </c>
      <c r="U87">
        <v>7956</v>
      </c>
      <c r="W87" s="39">
        <v>2.375</v>
      </c>
      <c r="X87">
        <v>15.4</v>
      </c>
      <c r="Y87">
        <v>1581</v>
      </c>
      <c r="Z87">
        <v>13767</v>
      </c>
      <c r="AA87">
        <v>158.41</v>
      </c>
      <c r="AB87">
        <v>3.05</v>
      </c>
      <c r="AD87">
        <v>2.5750000000000002</v>
      </c>
      <c r="AE87">
        <v>15.4</v>
      </c>
      <c r="AF87">
        <v>1876.6</v>
      </c>
      <c r="AG87">
        <v>18322</v>
      </c>
      <c r="AH87">
        <v>130</v>
      </c>
      <c r="AI87">
        <v>3.14</v>
      </c>
      <c r="AK87">
        <v>2.5750000000000002</v>
      </c>
      <c r="AL87">
        <v>15.4</v>
      </c>
      <c r="AM87">
        <v>1876.6</v>
      </c>
      <c r="AN87">
        <v>18322</v>
      </c>
      <c r="AO87">
        <v>101.2</v>
      </c>
      <c r="AP87">
        <v>3.14</v>
      </c>
      <c r="AR87">
        <v>2.5750000000000002</v>
      </c>
      <c r="AS87">
        <v>15.4</v>
      </c>
      <c r="AT87">
        <v>1876.6</v>
      </c>
      <c r="AU87">
        <v>18322</v>
      </c>
      <c r="AV87">
        <v>72.400000000000006</v>
      </c>
      <c r="AW87">
        <v>3.14</v>
      </c>
      <c r="AY87">
        <v>2.5750000000000002</v>
      </c>
      <c r="AZ87">
        <v>15.4</v>
      </c>
      <c r="BA87">
        <v>1531.8</v>
      </c>
      <c r="BB87">
        <v>13449</v>
      </c>
      <c r="BC87">
        <v>44.52</v>
      </c>
      <c r="BD87">
        <v>3.17</v>
      </c>
    </row>
    <row r="88" spans="2:56" ht="15" x14ac:dyDescent="0.35">
      <c r="B88" s="52" t="s">
        <v>73</v>
      </c>
      <c r="C88" s="1">
        <v>0.8</v>
      </c>
      <c r="D88" s="1">
        <v>0.7</v>
      </c>
      <c r="E88" s="1">
        <v>26.2</v>
      </c>
      <c r="F88" s="1">
        <v>-2.8</v>
      </c>
      <c r="G88" s="1">
        <v>14.5</v>
      </c>
      <c r="H88" s="1">
        <v>0</v>
      </c>
      <c r="J88">
        <v>9.1</v>
      </c>
      <c r="K88">
        <v>45236</v>
      </c>
      <c r="L88">
        <v>34192</v>
      </c>
      <c r="M88">
        <v>98.97</v>
      </c>
      <c r="N88">
        <v>4.74</v>
      </c>
      <c r="O88">
        <v>93.6</v>
      </c>
      <c r="P88">
        <v>14.35</v>
      </c>
      <c r="Q88">
        <v>716.8</v>
      </c>
      <c r="R88">
        <v>55.1</v>
      </c>
      <c r="S88">
        <v>0.81799999999999995</v>
      </c>
      <c r="T88">
        <v>5377</v>
      </c>
      <c r="U88">
        <v>8000</v>
      </c>
      <c r="W88" s="39">
        <v>2.1749999999999998</v>
      </c>
      <c r="X88">
        <v>15.6</v>
      </c>
      <c r="Y88">
        <v>1436.8</v>
      </c>
      <c r="Z88">
        <v>12855</v>
      </c>
      <c r="AA88">
        <v>158.37</v>
      </c>
      <c r="AB88">
        <v>2.94</v>
      </c>
      <c r="AD88">
        <v>2.375</v>
      </c>
      <c r="AE88">
        <v>15.6</v>
      </c>
      <c r="AF88">
        <v>1719.3</v>
      </c>
      <c r="AG88">
        <v>17201</v>
      </c>
      <c r="AH88">
        <v>130</v>
      </c>
      <c r="AI88">
        <v>3.03</v>
      </c>
      <c r="AK88">
        <v>2.375</v>
      </c>
      <c r="AL88">
        <v>15.6</v>
      </c>
      <c r="AM88">
        <v>1719.3</v>
      </c>
      <c r="AN88">
        <v>17201</v>
      </c>
      <c r="AO88">
        <v>101.2</v>
      </c>
      <c r="AP88">
        <v>3.03</v>
      </c>
      <c r="AR88">
        <v>2.375</v>
      </c>
      <c r="AS88">
        <v>15.6</v>
      </c>
      <c r="AT88">
        <v>1719.3</v>
      </c>
      <c r="AU88">
        <v>17201</v>
      </c>
      <c r="AV88">
        <v>72.400000000000006</v>
      </c>
      <c r="AW88">
        <v>3.03</v>
      </c>
      <c r="AY88">
        <v>2.375</v>
      </c>
      <c r="AZ88">
        <v>15.6</v>
      </c>
      <c r="BA88">
        <v>1395.7</v>
      </c>
      <c r="BB88">
        <v>12484</v>
      </c>
      <c r="BC88">
        <v>44.56</v>
      </c>
      <c r="BD88">
        <v>3.06</v>
      </c>
    </row>
    <row r="89" spans="2:56" ht="15" x14ac:dyDescent="0.35">
      <c r="B89" s="52" t="s">
        <v>74</v>
      </c>
      <c r="C89" s="1">
        <v>0.8</v>
      </c>
      <c r="D89" s="1">
        <v>0.7</v>
      </c>
      <c r="E89" s="1">
        <v>26.2</v>
      </c>
      <c r="F89" s="1">
        <v>-3.6</v>
      </c>
      <c r="G89" s="1">
        <v>14.5</v>
      </c>
      <c r="H89" s="1">
        <v>0</v>
      </c>
      <c r="J89">
        <v>9.1999999999999993</v>
      </c>
      <c r="K89">
        <v>45788</v>
      </c>
      <c r="L89">
        <v>34743</v>
      </c>
      <c r="M89">
        <v>98.91</v>
      </c>
      <c r="N89">
        <v>4.79</v>
      </c>
      <c r="O89">
        <v>93.42</v>
      </c>
      <c r="P89">
        <v>14.31</v>
      </c>
      <c r="Q89">
        <v>720.5</v>
      </c>
      <c r="R89">
        <v>55.2</v>
      </c>
      <c r="S89">
        <v>0.81899999999999995</v>
      </c>
      <c r="T89">
        <v>5386</v>
      </c>
      <c r="U89">
        <v>8044</v>
      </c>
      <c r="W89" s="39">
        <v>1.9750000000000001</v>
      </c>
      <c r="X89">
        <v>15.8</v>
      </c>
      <c r="Y89">
        <v>1294.5</v>
      </c>
      <c r="Z89">
        <v>11899</v>
      </c>
      <c r="AA89">
        <v>158.34</v>
      </c>
      <c r="AB89">
        <v>2.84</v>
      </c>
      <c r="AD89">
        <v>2.1749999999999998</v>
      </c>
      <c r="AE89">
        <v>15.8</v>
      </c>
      <c r="AF89">
        <v>1563.2</v>
      </c>
      <c r="AG89">
        <v>16026</v>
      </c>
      <c r="AH89">
        <v>130</v>
      </c>
      <c r="AI89">
        <v>2.93</v>
      </c>
      <c r="AK89">
        <v>2.1749999999999998</v>
      </c>
      <c r="AL89">
        <v>15.8</v>
      </c>
      <c r="AM89">
        <v>1563.2</v>
      </c>
      <c r="AN89">
        <v>16026</v>
      </c>
      <c r="AO89">
        <v>101.2</v>
      </c>
      <c r="AP89">
        <v>2.93</v>
      </c>
      <c r="AR89">
        <v>2.1749999999999998</v>
      </c>
      <c r="AS89">
        <v>15.8</v>
      </c>
      <c r="AT89">
        <v>1563.2</v>
      </c>
      <c r="AU89">
        <v>16026</v>
      </c>
      <c r="AV89">
        <v>72.400000000000006</v>
      </c>
      <c r="AW89">
        <v>2.93</v>
      </c>
      <c r="AY89">
        <v>2.1749999999999998</v>
      </c>
      <c r="AZ89">
        <v>15.8</v>
      </c>
      <c r="BA89">
        <v>1262</v>
      </c>
      <c r="BB89">
        <v>11497</v>
      </c>
      <c r="BC89">
        <v>44.6</v>
      </c>
      <c r="BD89">
        <v>2.96</v>
      </c>
    </row>
    <row r="90" spans="2:56" ht="15" x14ac:dyDescent="0.35">
      <c r="B90" s="18"/>
      <c r="C90" s="2"/>
      <c r="D90" s="2"/>
      <c r="E90" s="2"/>
      <c r="F90" s="2"/>
      <c r="G90" s="2"/>
      <c r="H90" s="2"/>
      <c r="J90">
        <v>9.3000000000000007</v>
      </c>
      <c r="K90">
        <v>46340</v>
      </c>
      <c r="L90">
        <v>35296</v>
      </c>
      <c r="M90">
        <v>98.84</v>
      </c>
      <c r="N90">
        <v>4.84</v>
      </c>
      <c r="O90">
        <v>93.25</v>
      </c>
      <c r="P90">
        <v>14.27</v>
      </c>
      <c r="Q90">
        <v>724.2</v>
      </c>
      <c r="R90">
        <v>55.3</v>
      </c>
      <c r="S90">
        <v>0.82</v>
      </c>
      <c r="T90">
        <v>5395</v>
      </c>
      <c r="U90">
        <v>8088</v>
      </c>
      <c r="W90" s="39">
        <v>1.7749999999999999</v>
      </c>
      <c r="X90">
        <v>16</v>
      </c>
      <c r="Y90">
        <v>1154.0999999999999</v>
      </c>
      <c r="Z90">
        <v>10900</v>
      </c>
      <c r="AA90">
        <v>158.30000000000001</v>
      </c>
      <c r="AB90">
        <v>2.73</v>
      </c>
      <c r="AD90">
        <v>1.9750000000000001</v>
      </c>
      <c r="AE90">
        <v>16</v>
      </c>
      <c r="AF90">
        <v>1408.4</v>
      </c>
      <c r="AG90">
        <v>14790</v>
      </c>
      <c r="AH90">
        <v>130</v>
      </c>
      <c r="AI90">
        <v>2.83</v>
      </c>
      <c r="AK90">
        <v>1.9750000000000001</v>
      </c>
      <c r="AL90">
        <v>16</v>
      </c>
      <c r="AM90">
        <v>1408.4</v>
      </c>
      <c r="AN90">
        <v>14790</v>
      </c>
      <c r="AO90">
        <v>101.2</v>
      </c>
      <c r="AP90">
        <v>2.83</v>
      </c>
      <c r="AR90">
        <v>1.9750000000000001</v>
      </c>
      <c r="AS90">
        <v>16</v>
      </c>
      <c r="AT90">
        <v>1408.4</v>
      </c>
      <c r="AU90">
        <v>14790</v>
      </c>
      <c r="AV90">
        <v>72.400000000000006</v>
      </c>
      <c r="AW90">
        <v>2.83</v>
      </c>
      <c r="AY90">
        <v>1.9750000000000001</v>
      </c>
      <c r="AZ90">
        <v>16</v>
      </c>
      <c r="BA90">
        <v>1131</v>
      </c>
      <c r="BB90">
        <v>10486</v>
      </c>
      <c r="BC90">
        <v>44.64</v>
      </c>
      <c r="BD90">
        <v>2.85</v>
      </c>
    </row>
    <row r="91" spans="2:56" ht="15" x14ac:dyDescent="0.35">
      <c r="B91" s="52" t="s">
        <v>64</v>
      </c>
      <c r="C91" s="20">
        <v>128.69999999999999</v>
      </c>
      <c r="D91" s="20">
        <v>126.1</v>
      </c>
      <c r="E91" s="20">
        <v>9.36</v>
      </c>
      <c r="F91" s="20">
        <v>7.01</v>
      </c>
      <c r="G91" s="20">
        <v>10.69</v>
      </c>
      <c r="H91" s="18"/>
      <c r="J91">
        <v>9.4</v>
      </c>
      <c r="K91">
        <v>46894</v>
      </c>
      <c r="L91">
        <v>35849</v>
      </c>
      <c r="M91">
        <v>98.77</v>
      </c>
      <c r="N91">
        <v>4.9000000000000004</v>
      </c>
      <c r="O91">
        <v>93.08</v>
      </c>
      <c r="P91">
        <v>14.23</v>
      </c>
      <c r="Q91">
        <v>727.7</v>
      </c>
      <c r="R91">
        <v>55.4</v>
      </c>
      <c r="S91">
        <v>0.82099999999999995</v>
      </c>
      <c r="T91">
        <v>5404</v>
      </c>
      <c r="U91">
        <v>8132</v>
      </c>
      <c r="W91" s="39">
        <v>1.575</v>
      </c>
      <c r="X91">
        <v>16.2</v>
      </c>
      <c r="Y91">
        <v>1015.8</v>
      </c>
      <c r="Z91">
        <v>9856</v>
      </c>
      <c r="AA91">
        <v>158.26</v>
      </c>
      <c r="AB91">
        <v>2.63</v>
      </c>
      <c r="AD91">
        <v>1.7749999999999999</v>
      </c>
      <c r="AE91">
        <v>16.2</v>
      </c>
      <c r="AF91">
        <v>1257.0999999999999</v>
      </c>
      <c r="AG91">
        <v>13529</v>
      </c>
      <c r="AH91">
        <v>130</v>
      </c>
      <c r="AI91">
        <v>2.72</v>
      </c>
      <c r="AK91">
        <v>1.7749999999999999</v>
      </c>
      <c r="AL91">
        <v>16.2</v>
      </c>
      <c r="AM91">
        <v>1257.0999999999999</v>
      </c>
      <c r="AN91">
        <v>13529</v>
      </c>
      <c r="AO91">
        <v>101.2</v>
      </c>
      <c r="AP91">
        <v>2.72</v>
      </c>
      <c r="AR91">
        <v>1.7749999999999999</v>
      </c>
      <c r="AS91">
        <v>16.2</v>
      </c>
      <c r="AT91">
        <v>1257.0999999999999</v>
      </c>
      <c r="AU91">
        <v>13529</v>
      </c>
      <c r="AV91">
        <v>72.400000000000006</v>
      </c>
      <c r="AW91">
        <v>2.72</v>
      </c>
      <c r="AY91">
        <v>1.7749999999999999</v>
      </c>
      <c r="AZ91">
        <v>16.2</v>
      </c>
      <c r="BA91">
        <v>1003.6</v>
      </c>
      <c r="BB91">
        <v>9468</v>
      </c>
      <c r="BC91">
        <v>44.68</v>
      </c>
      <c r="BD91">
        <v>2.74</v>
      </c>
    </row>
    <row r="92" spans="2:56" ht="15" x14ac:dyDescent="0.35">
      <c r="J92">
        <v>9.5</v>
      </c>
      <c r="K92">
        <v>47448</v>
      </c>
      <c r="L92">
        <v>36404</v>
      </c>
      <c r="M92">
        <v>98.71</v>
      </c>
      <c r="N92">
        <v>4.95</v>
      </c>
      <c r="O92">
        <v>92.91</v>
      </c>
      <c r="P92">
        <v>14.19</v>
      </c>
      <c r="Q92">
        <v>731</v>
      </c>
      <c r="R92">
        <v>55.5</v>
      </c>
      <c r="S92">
        <v>0.82199999999999995</v>
      </c>
      <c r="T92">
        <v>5413</v>
      </c>
      <c r="U92">
        <v>8175</v>
      </c>
      <c r="W92" s="39">
        <v>1.375</v>
      </c>
      <c r="X92">
        <v>16.399999999999999</v>
      </c>
      <c r="Y92">
        <v>879.6</v>
      </c>
      <c r="Z92">
        <v>8768</v>
      </c>
      <c r="AA92">
        <v>158.22999999999999</v>
      </c>
      <c r="AB92">
        <v>2.5299999999999998</v>
      </c>
      <c r="AD92">
        <v>1.575</v>
      </c>
      <c r="AE92">
        <v>16.399999999999999</v>
      </c>
      <c r="AF92">
        <v>1110.7</v>
      </c>
      <c r="AG92">
        <v>12268</v>
      </c>
      <c r="AH92">
        <v>130</v>
      </c>
      <c r="AI92">
        <v>2.62</v>
      </c>
      <c r="AK92">
        <v>1.575</v>
      </c>
      <c r="AL92">
        <v>16.399999999999999</v>
      </c>
      <c r="AM92">
        <v>1110.7</v>
      </c>
      <c r="AN92">
        <v>12268</v>
      </c>
      <c r="AO92">
        <v>101.2</v>
      </c>
      <c r="AP92">
        <v>2.62</v>
      </c>
      <c r="AR92">
        <v>1.575</v>
      </c>
      <c r="AS92">
        <v>16.399999999999999</v>
      </c>
      <c r="AT92">
        <v>1110.7</v>
      </c>
      <c r="AU92">
        <v>12268</v>
      </c>
      <c r="AV92">
        <v>72.400000000000006</v>
      </c>
      <c r="AW92">
        <v>2.62</v>
      </c>
      <c r="AY92">
        <v>1.575</v>
      </c>
      <c r="AZ92">
        <v>16.399999999999999</v>
      </c>
      <c r="BA92">
        <v>880.5</v>
      </c>
      <c r="BB92">
        <v>8462</v>
      </c>
      <c r="BC92">
        <v>44.72</v>
      </c>
      <c r="BD92">
        <v>2.64</v>
      </c>
    </row>
    <row r="93" spans="2:56" ht="15" x14ac:dyDescent="0.35">
      <c r="J93">
        <v>9.6</v>
      </c>
      <c r="K93">
        <v>48003</v>
      </c>
      <c r="L93">
        <v>36959</v>
      </c>
      <c r="M93">
        <v>98.64</v>
      </c>
      <c r="N93">
        <v>5</v>
      </c>
      <c r="O93">
        <v>92.74</v>
      </c>
      <c r="P93">
        <v>14.15</v>
      </c>
      <c r="Q93">
        <v>734.4</v>
      </c>
      <c r="R93">
        <v>55.6</v>
      </c>
      <c r="S93">
        <v>0.82299999999999995</v>
      </c>
      <c r="T93">
        <v>5422</v>
      </c>
      <c r="U93">
        <v>8219</v>
      </c>
      <c r="W93" s="39">
        <v>1.175</v>
      </c>
      <c r="X93">
        <v>16.600000000000001</v>
      </c>
      <c r="Y93">
        <v>745.4</v>
      </c>
      <c r="Z93">
        <v>7634</v>
      </c>
      <c r="AA93">
        <v>158.19</v>
      </c>
      <c r="AB93">
        <v>2.42</v>
      </c>
      <c r="AD93">
        <v>1.375</v>
      </c>
      <c r="AE93">
        <v>16.600000000000001</v>
      </c>
      <c r="AF93">
        <v>965.5</v>
      </c>
      <c r="AG93">
        <v>10946</v>
      </c>
      <c r="AH93">
        <v>130</v>
      </c>
      <c r="AI93">
        <v>2.52</v>
      </c>
      <c r="AK93">
        <v>1.375</v>
      </c>
      <c r="AL93">
        <v>16.600000000000001</v>
      </c>
      <c r="AM93">
        <v>965.5</v>
      </c>
      <c r="AN93">
        <v>10946</v>
      </c>
      <c r="AO93">
        <v>101.2</v>
      </c>
      <c r="AP93">
        <v>2.52</v>
      </c>
      <c r="AR93">
        <v>1.375</v>
      </c>
      <c r="AS93">
        <v>16.600000000000001</v>
      </c>
      <c r="AT93">
        <v>965.5</v>
      </c>
      <c r="AU93">
        <v>10946</v>
      </c>
      <c r="AV93">
        <v>72.400000000000006</v>
      </c>
      <c r="AW93">
        <v>2.52</v>
      </c>
      <c r="AY93">
        <v>1.375</v>
      </c>
      <c r="AZ93">
        <v>16.600000000000001</v>
      </c>
      <c r="BA93">
        <v>760</v>
      </c>
      <c r="BB93">
        <v>7436</v>
      </c>
      <c r="BC93">
        <v>44.76</v>
      </c>
      <c r="BD93">
        <v>2.5299999999999998</v>
      </c>
    </row>
    <row r="94" spans="2:56" ht="15" x14ac:dyDescent="0.35">
      <c r="J94">
        <v>9.6999999999999993</v>
      </c>
      <c r="K94">
        <v>48559</v>
      </c>
      <c r="L94">
        <v>37515</v>
      </c>
      <c r="M94">
        <v>98.57</v>
      </c>
      <c r="N94">
        <v>5.0599999999999996</v>
      </c>
      <c r="O94">
        <v>92.58</v>
      </c>
      <c r="P94">
        <v>14.12</v>
      </c>
      <c r="Q94">
        <v>737.6</v>
      </c>
      <c r="R94">
        <v>55.7</v>
      </c>
      <c r="S94">
        <v>0.82399999999999995</v>
      </c>
      <c r="T94">
        <v>5430</v>
      </c>
      <c r="U94">
        <v>8262</v>
      </c>
      <c r="W94" s="39">
        <v>0.97499999999999998</v>
      </c>
      <c r="X94">
        <v>16.8</v>
      </c>
      <c r="Y94">
        <v>613.29999999999995</v>
      </c>
      <c r="Z94">
        <v>6453</v>
      </c>
      <c r="AA94">
        <v>158.15</v>
      </c>
      <c r="AB94">
        <v>2.3199999999999998</v>
      </c>
      <c r="AD94">
        <v>1.175</v>
      </c>
      <c r="AE94">
        <v>16.8</v>
      </c>
      <c r="AF94">
        <v>821.5</v>
      </c>
      <c r="AG94">
        <v>9565</v>
      </c>
      <c r="AH94">
        <v>130</v>
      </c>
      <c r="AI94">
        <v>2.42</v>
      </c>
      <c r="AK94">
        <v>1.175</v>
      </c>
      <c r="AL94">
        <v>16.8</v>
      </c>
      <c r="AM94">
        <v>821.5</v>
      </c>
      <c r="AN94">
        <v>9565</v>
      </c>
      <c r="AO94">
        <v>101.2</v>
      </c>
      <c r="AP94">
        <v>2.42</v>
      </c>
      <c r="AR94">
        <v>1.175</v>
      </c>
      <c r="AS94">
        <v>16.8</v>
      </c>
      <c r="AT94">
        <v>821.5</v>
      </c>
      <c r="AU94">
        <v>9565</v>
      </c>
      <c r="AV94">
        <v>72.400000000000006</v>
      </c>
      <c r="AW94">
        <v>2.42</v>
      </c>
      <c r="AY94">
        <v>1.175</v>
      </c>
      <c r="AZ94">
        <v>16.8</v>
      </c>
      <c r="BA94">
        <v>642</v>
      </c>
      <c r="BB94">
        <v>6393</v>
      </c>
      <c r="BC94">
        <v>44.81</v>
      </c>
      <c r="BD94">
        <v>2.4300000000000002</v>
      </c>
    </row>
    <row r="95" spans="2:56" ht="15" x14ac:dyDescent="0.35">
      <c r="J95">
        <v>9.8000000000000007</v>
      </c>
      <c r="K95">
        <v>49116</v>
      </c>
      <c r="L95">
        <v>38072</v>
      </c>
      <c r="M95">
        <v>98.5</v>
      </c>
      <c r="N95">
        <v>5.1100000000000003</v>
      </c>
      <c r="O95">
        <v>92.41</v>
      </c>
      <c r="P95">
        <v>14.08</v>
      </c>
      <c r="Q95">
        <v>740.6</v>
      </c>
      <c r="R95">
        <v>55.7</v>
      </c>
      <c r="S95">
        <v>0.82499999999999996</v>
      </c>
      <c r="T95">
        <v>5438</v>
      </c>
      <c r="U95">
        <v>8305</v>
      </c>
      <c r="W95" s="39">
        <v>0.77500000000000002</v>
      </c>
      <c r="X95">
        <v>17</v>
      </c>
      <c r="Y95">
        <v>483.3</v>
      </c>
      <c r="Z95">
        <v>5222</v>
      </c>
      <c r="AA95">
        <v>158.11000000000001</v>
      </c>
      <c r="AB95">
        <v>2.2200000000000002</v>
      </c>
      <c r="AD95">
        <v>0.97499999999999998</v>
      </c>
      <c r="AE95">
        <v>17</v>
      </c>
      <c r="AF95">
        <v>678.7</v>
      </c>
      <c r="AG95">
        <v>8120</v>
      </c>
      <c r="AH95">
        <v>130</v>
      </c>
      <c r="AI95">
        <v>2.3199999999999998</v>
      </c>
      <c r="AK95">
        <v>0.97499999999999998</v>
      </c>
      <c r="AL95">
        <v>17</v>
      </c>
      <c r="AM95">
        <v>678.7</v>
      </c>
      <c r="AN95">
        <v>8120</v>
      </c>
      <c r="AO95">
        <v>101.2</v>
      </c>
      <c r="AP95">
        <v>2.3199999999999998</v>
      </c>
      <c r="AR95">
        <v>0.97499999999999998</v>
      </c>
      <c r="AS95">
        <v>17</v>
      </c>
      <c r="AT95">
        <v>678.7</v>
      </c>
      <c r="AU95">
        <v>8120</v>
      </c>
      <c r="AV95">
        <v>72.400000000000006</v>
      </c>
      <c r="AW95">
        <v>2.3199999999999998</v>
      </c>
      <c r="AY95">
        <v>0.97499999999999998</v>
      </c>
      <c r="AZ95">
        <v>17</v>
      </c>
      <c r="BA95">
        <v>526.6</v>
      </c>
      <c r="BB95">
        <v>5330</v>
      </c>
      <c r="BC95">
        <v>44.85</v>
      </c>
      <c r="BD95">
        <v>2.3199999999999998</v>
      </c>
    </row>
    <row r="96" spans="2:56" ht="15" x14ac:dyDescent="0.35">
      <c r="B96" s="54" t="s">
        <v>75</v>
      </c>
      <c r="C96" s="52" t="s">
        <v>13</v>
      </c>
      <c r="D96" s="52" t="s">
        <v>14</v>
      </c>
      <c r="E96" s="52" t="s">
        <v>15</v>
      </c>
      <c r="F96" s="52" t="s">
        <v>16</v>
      </c>
      <c r="G96" s="52" t="s">
        <v>17</v>
      </c>
      <c r="H96" s="52" t="s">
        <v>18</v>
      </c>
      <c r="J96">
        <v>9.9</v>
      </c>
      <c r="K96">
        <v>49674</v>
      </c>
      <c r="L96">
        <v>38630</v>
      </c>
      <c r="M96">
        <v>98.43</v>
      </c>
      <c r="N96">
        <v>5.16</v>
      </c>
      <c r="O96">
        <v>92.25</v>
      </c>
      <c r="P96">
        <v>14.05</v>
      </c>
      <c r="Q96">
        <v>743.6</v>
      </c>
      <c r="R96">
        <v>55.8</v>
      </c>
      <c r="S96">
        <v>0.82599999999999996</v>
      </c>
      <c r="T96">
        <v>5445</v>
      </c>
      <c r="U96">
        <v>8348</v>
      </c>
      <c r="W96" s="39">
        <v>0.57499999999999996</v>
      </c>
      <c r="X96">
        <v>17.2</v>
      </c>
      <c r="Y96">
        <v>355.4</v>
      </c>
      <c r="Z96">
        <v>3939</v>
      </c>
      <c r="AA96">
        <v>158.07</v>
      </c>
      <c r="AB96">
        <v>2.11</v>
      </c>
      <c r="AD96">
        <v>0.77500000000000002</v>
      </c>
      <c r="AE96">
        <v>17.2</v>
      </c>
      <c r="AF96">
        <v>537.1</v>
      </c>
      <c r="AG96">
        <v>6605</v>
      </c>
      <c r="AH96">
        <v>130</v>
      </c>
      <c r="AI96">
        <v>2.21</v>
      </c>
      <c r="AK96">
        <v>0.77500000000000002</v>
      </c>
      <c r="AL96">
        <v>17.2</v>
      </c>
      <c r="AM96">
        <v>537.1</v>
      </c>
      <c r="AN96">
        <v>6605</v>
      </c>
      <c r="AO96">
        <v>101.2</v>
      </c>
      <c r="AP96">
        <v>2.21</v>
      </c>
      <c r="AR96">
        <v>0.77500000000000002</v>
      </c>
      <c r="AS96">
        <v>17.2</v>
      </c>
      <c r="AT96">
        <v>537.1</v>
      </c>
      <c r="AU96">
        <v>6605</v>
      </c>
      <c r="AV96">
        <v>72.400000000000006</v>
      </c>
      <c r="AW96">
        <v>2.21</v>
      </c>
      <c r="AY96">
        <v>0.77500000000000002</v>
      </c>
      <c r="AZ96">
        <v>17.2</v>
      </c>
      <c r="BA96">
        <v>413.7</v>
      </c>
      <c r="BB96">
        <v>4248</v>
      </c>
      <c r="BC96">
        <v>44.89</v>
      </c>
      <c r="BD96">
        <v>2.2200000000000002</v>
      </c>
    </row>
    <row r="97" spans="2:56" ht="15" x14ac:dyDescent="0.35">
      <c r="B97" s="52" t="s">
        <v>76</v>
      </c>
      <c r="C97" s="20">
        <v>119.5</v>
      </c>
      <c r="D97" s="20">
        <v>117.1</v>
      </c>
      <c r="E97" s="20">
        <v>-0.81</v>
      </c>
      <c r="F97" s="20">
        <v>-8.2200000000000006</v>
      </c>
      <c r="G97" s="20">
        <v>15.85</v>
      </c>
      <c r="H97" s="20">
        <v>87</v>
      </c>
      <c r="J97">
        <v>10</v>
      </c>
      <c r="K97">
        <v>50232</v>
      </c>
      <c r="L97">
        <v>39188</v>
      </c>
      <c r="M97">
        <v>98.36</v>
      </c>
      <c r="N97">
        <v>5.22</v>
      </c>
      <c r="O97">
        <v>92.09</v>
      </c>
      <c r="P97">
        <v>14.02</v>
      </c>
      <c r="Q97">
        <v>746.5</v>
      </c>
      <c r="R97">
        <v>55.9</v>
      </c>
      <c r="S97">
        <v>0.82699999999999996</v>
      </c>
      <c r="T97">
        <v>5453</v>
      </c>
      <c r="U97">
        <v>8391</v>
      </c>
      <c r="W97" s="39">
        <v>0.375</v>
      </c>
      <c r="X97">
        <v>17.399999999999999</v>
      </c>
      <c r="Y97">
        <v>229.7</v>
      </c>
      <c r="Z97">
        <v>2604</v>
      </c>
      <c r="AA97">
        <v>158.03</v>
      </c>
      <c r="AB97">
        <v>2.0099999999999998</v>
      </c>
      <c r="AD97">
        <v>0.57499999999999996</v>
      </c>
      <c r="AE97">
        <v>17.399999999999999</v>
      </c>
      <c r="AF97">
        <v>396.8</v>
      </c>
      <c r="AG97">
        <v>5018</v>
      </c>
      <c r="AH97">
        <v>130</v>
      </c>
      <c r="AI97">
        <v>2.11</v>
      </c>
      <c r="AK97">
        <v>0.57499999999999996</v>
      </c>
      <c r="AL97">
        <v>17.399999999999999</v>
      </c>
      <c r="AM97">
        <v>396.8</v>
      </c>
      <c r="AN97">
        <v>5018</v>
      </c>
      <c r="AO97">
        <v>101.2</v>
      </c>
      <c r="AP97">
        <v>2.11</v>
      </c>
      <c r="AR97">
        <v>0.57499999999999996</v>
      </c>
      <c r="AS97">
        <v>17.399999999999999</v>
      </c>
      <c r="AT97">
        <v>396.8</v>
      </c>
      <c r="AU97">
        <v>5018</v>
      </c>
      <c r="AV97">
        <v>72.400000000000006</v>
      </c>
      <c r="AW97">
        <v>2.11</v>
      </c>
      <c r="AY97">
        <v>0.57499999999999996</v>
      </c>
      <c r="AZ97">
        <v>17.399999999999999</v>
      </c>
      <c r="BA97">
        <v>303.3</v>
      </c>
      <c r="BB97">
        <v>3146</v>
      </c>
      <c r="BC97">
        <v>44.94</v>
      </c>
      <c r="BD97">
        <v>2.12</v>
      </c>
    </row>
    <row r="98" spans="2:56" ht="15" x14ac:dyDescent="0.35">
      <c r="B98" s="52" t="s">
        <v>77</v>
      </c>
      <c r="C98" s="22">
        <v>119.5</v>
      </c>
      <c r="D98" s="22">
        <v>117.1</v>
      </c>
      <c r="E98" s="22">
        <v>-0.81</v>
      </c>
      <c r="F98" s="22">
        <v>8.2200000000000006</v>
      </c>
      <c r="G98" s="22">
        <v>15.85</v>
      </c>
      <c r="H98" s="22">
        <v>87</v>
      </c>
      <c r="J98">
        <v>10.1</v>
      </c>
      <c r="K98">
        <v>50792</v>
      </c>
      <c r="L98">
        <v>39748</v>
      </c>
      <c r="M98">
        <v>98.29</v>
      </c>
      <c r="N98">
        <v>5.27</v>
      </c>
      <c r="O98">
        <v>91.94</v>
      </c>
      <c r="P98">
        <v>13.99</v>
      </c>
      <c r="Q98">
        <v>749.3</v>
      </c>
      <c r="R98">
        <v>56</v>
      </c>
      <c r="S98">
        <v>0.82799999999999996</v>
      </c>
      <c r="T98">
        <v>5460</v>
      </c>
      <c r="U98">
        <v>8434</v>
      </c>
      <c r="W98" s="39">
        <v>0.17499999999999999</v>
      </c>
      <c r="X98">
        <v>17.600000000000001</v>
      </c>
      <c r="Y98">
        <v>106.2</v>
      </c>
      <c r="Z98">
        <v>1234</v>
      </c>
      <c r="AA98">
        <v>157.97999999999999</v>
      </c>
      <c r="AB98">
        <v>1.91</v>
      </c>
      <c r="AD98">
        <v>0.375</v>
      </c>
      <c r="AE98">
        <v>17.600000000000001</v>
      </c>
      <c r="AF98">
        <v>257.60000000000002</v>
      </c>
      <c r="AG98">
        <v>3346</v>
      </c>
      <c r="AH98">
        <v>130</v>
      </c>
      <c r="AI98">
        <v>2.0099999999999998</v>
      </c>
      <c r="AK98">
        <v>0.375</v>
      </c>
      <c r="AL98">
        <v>17.600000000000001</v>
      </c>
      <c r="AM98">
        <v>257.60000000000002</v>
      </c>
      <c r="AN98">
        <v>3346</v>
      </c>
      <c r="AO98">
        <v>101.2</v>
      </c>
      <c r="AP98">
        <v>2.0099999999999998</v>
      </c>
      <c r="AR98">
        <v>0.375</v>
      </c>
      <c r="AS98">
        <v>17.600000000000001</v>
      </c>
      <c r="AT98">
        <v>257.60000000000002</v>
      </c>
      <c r="AU98">
        <v>3346</v>
      </c>
      <c r="AV98">
        <v>72.400000000000006</v>
      </c>
      <c r="AW98">
        <v>2.0099999999999998</v>
      </c>
      <c r="AY98">
        <v>0.375</v>
      </c>
      <c r="AZ98">
        <v>17.600000000000001</v>
      </c>
      <c r="BA98">
        <v>195.4</v>
      </c>
      <c r="BB98">
        <v>2040</v>
      </c>
      <c r="BC98">
        <v>44.99</v>
      </c>
      <c r="BD98">
        <v>2.0099999999999998</v>
      </c>
    </row>
    <row r="99" spans="2:56" ht="15" x14ac:dyDescent="0.35">
      <c r="B99" s="18"/>
      <c r="C99" s="2"/>
      <c r="D99" s="2"/>
      <c r="E99" s="2"/>
      <c r="F99" s="2"/>
      <c r="G99" s="2"/>
      <c r="H99" s="2"/>
      <c r="J99">
        <v>10.199999999999999</v>
      </c>
      <c r="K99">
        <v>51352</v>
      </c>
      <c r="L99">
        <v>40308</v>
      </c>
      <c r="M99">
        <v>98.22</v>
      </c>
      <c r="N99">
        <v>5.32</v>
      </c>
      <c r="O99">
        <v>91.78</v>
      </c>
      <c r="P99">
        <v>13.96</v>
      </c>
      <c r="Q99">
        <v>751.9</v>
      </c>
      <c r="R99">
        <v>56</v>
      </c>
      <c r="S99">
        <v>0.82899999999999996</v>
      </c>
      <c r="T99">
        <v>5467</v>
      </c>
      <c r="U99">
        <v>8477</v>
      </c>
      <c r="W99" s="39">
        <v>0</v>
      </c>
      <c r="X99">
        <v>17.78</v>
      </c>
      <c r="Y99">
        <v>0</v>
      </c>
      <c r="Z99">
        <v>0</v>
      </c>
      <c r="AA99">
        <v>0</v>
      </c>
      <c r="AB99">
        <v>0</v>
      </c>
      <c r="AD99">
        <v>0.17499999999999999</v>
      </c>
      <c r="AE99">
        <v>17.8</v>
      </c>
      <c r="AF99">
        <v>119.7</v>
      </c>
      <c r="AG99">
        <v>1605</v>
      </c>
      <c r="AH99">
        <v>130</v>
      </c>
      <c r="AI99">
        <v>1.91</v>
      </c>
      <c r="AK99">
        <v>0.17499999999999999</v>
      </c>
      <c r="AL99">
        <v>17.8</v>
      </c>
      <c r="AM99">
        <v>119.7</v>
      </c>
      <c r="AN99">
        <v>1605</v>
      </c>
      <c r="AO99">
        <v>101.2</v>
      </c>
      <c r="AP99">
        <v>1.91</v>
      </c>
      <c r="AR99">
        <v>0.17499999999999999</v>
      </c>
      <c r="AS99">
        <v>17.8</v>
      </c>
      <c r="AT99">
        <v>119.7</v>
      </c>
      <c r="AU99">
        <v>1605</v>
      </c>
      <c r="AV99">
        <v>72.400000000000006</v>
      </c>
      <c r="AW99">
        <v>1.91</v>
      </c>
      <c r="AY99">
        <v>0.17499999999999999</v>
      </c>
      <c r="AZ99">
        <v>17.8</v>
      </c>
      <c r="BA99">
        <v>90.1</v>
      </c>
      <c r="BB99">
        <v>947</v>
      </c>
      <c r="BC99">
        <v>45.03</v>
      </c>
      <c r="BD99">
        <v>1.91</v>
      </c>
    </row>
    <row r="100" spans="2:56" x14ac:dyDescent="0.3">
      <c r="B100" s="52" t="s">
        <v>78</v>
      </c>
      <c r="C100" s="20">
        <v>239.1</v>
      </c>
      <c r="D100" s="20">
        <v>232.3</v>
      </c>
      <c r="E100" s="20">
        <v>-0.81</v>
      </c>
      <c r="F100" s="20">
        <v>0</v>
      </c>
      <c r="G100" s="20">
        <v>15.85</v>
      </c>
      <c r="H100" s="18"/>
      <c r="J100">
        <v>10.3</v>
      </c>
      <c r="K100">
        <v>51913</v>
      </c>
      <c r="L100">
        <v>40868</v>
      </c>
      <c r="M100">
        <v>98.15</v>
      </c>
      <c r="N100">
        <v>5.37</v>
      </c>
      <c r="O100">
        <v>91.63</v>
      </c>
      <c r="P100">
        <v>13.94</v>
      </c>
      <c r="Q100">
        <v>754.4</v>
      </c>
      <c r="R100">
        <v>56.1</v>
      </c>
      <c r="S100">
        <v>0.83</v>
      </c>
      <c r="T100">
        <v>5473</v>
      </c>
      <c r="U100">
        <v>8520</v>
      </c>
      <c r="W100" s="54" t="s">
        <v>133</v>
      </c>
      <c r="X100" s="18"/>
      <c r="Y100" s="18"/>
      <c r="Z100" s="18"/>
      <c r="AA100" s="18"/>
      <c r="AB100" s="18"/>
      <c r="AD100">
        <v>0</v>
      </c>
      <c r="AE100">
        <v>17.975000000000001</v>
      </c>
      <c r="AF100">
        <v>0</v>
      </c>
      <c r="AG100">
        <v>0</v>
      </c>
      <c r="AH100">
        <v>0</v>
      </c>
      <c r="AI100">
        <v>0</v>
      </c>
      <c r="AK100">
        <v>0</v>
      </c>
      <c r="AL100">
        <v>17.975000000000001</v>
      </c>
      <c r="AM100">
        <v>0</v>
      </c>
      <c r="AN100">
        <v>0</v>
      </c>
      <c r="AO100">
        <v>0</v>
      </c>
      <c r="AP100">
        <v>0</v>
      </c>
      <c r="AR100">
        <v>0</v>
      </c>
      <c r="AS100">
        <v>17.975000000000001</v>
      </c>
      <c r="AT100">
        <v>0</v>
      </c>
      <c r="AU100">
        <v>0</v>
      </c>
      <c r="AV100">
        <v>0</v>
      </c>
      <c r="AW100">
        <v>0</v>
      </c>
      <c r="AY100">
        <v>0</v>
      </c>
      <c r="AZ100">
        <v>17.98</v>
      </c>
      <c r="BA100">
        <v>0</v>
      </c>
      <c r="BB100">
        <v>0</v>
      </c>
      <c r="BC100">
        <v>0</v>
      </c>
      <c r="BD100">
        <v>0</v>
      </c>
    </row>
    <row r="101" spans="2:56" x14ac:dyDescent="0.3">
      <c r="J101">
        <v>10.4</v>
      </c>
      <c r="K101">
        <v>52474</v>
      </c>
      <c r="L101">
        <v>41430</v>
      </c>
      <c r="M101">
        <v>98.08</v>
      </c>
      <c r="N101">
        <v>5.43</v>
      </c>
      <c r="O101">
        <v>91.47</v>
      </c>
      <c r="P101">
        <v>13.91</v>
      </c>
      <c r="Q101">
        <v>756.8</v>
      </c>
      <c r="R101">
        <v>56.2</v>
      </c>
      <c r="S101">
        <v>0.83</v>
      </c>
      <c r="T101">
        <v>5480</v>
      </c>
      <c r="U101">
        <v>8563</v>
      </c>
      <c r="W101" s="19">
        <v>17.975000000000001</v>
      </c>
      <c r="X101" s="19">
        <v>0</v>
      </c>
      <c r="Y101" s="19">
        <v>12431.5</v>
      </c>
      <c r="Z101" s="19">
        <v>536</v>
      </c>
      <c r="AA101" s="19">
        <v>158.59</v>
      </c>
      <c r="AB101" s="19">
        <v>10.119999999999999</v>
      </c>
      <c r="AD101" s="54" t="s">
        <v>133</v>
      </c>
      <c r="AE101" s="18"/>
      <c r="AF101" s="18"/>
      <c r="AG101" s="18"/>
      <c r="AH101" s="18"/>
      <c r="AI101" s="18"/>
      <c r="AK101" s="54" t="s">
        <v>133</v>
      </c>
      <c r="AL101" s="18"/>
      <c r="AM101" s="18"/>
      <c r="AN101" s="18"/>
      <c r="AO101" s="18"/>
      <c r="AP101" s="18"/>
      <c r="AR101" s="54" t="s">
        <v>133</v>
      </c>
      <c r="AS101" s="18"/>
      <c r="AT101" s="18"/>
      <c r="AU101" s="18"/>
      <c r="AV101" s="18"/>
      <c r="AW101" s="18"/>
      <c r="AY101" s="54" t="s">
        <v>133</v>
      </c>
      <c r="AZ101" s="18"/>
      <c r="BA101" s="18"/>
      <c r="BB101" s="18"/>
      <c r="BC101" s="18"/>
      <c r="BD101" s="18"/>
    </row>
    <row r="102" spans="2:56" x14ac:dyDescent="0.3">
      <c r="J102">
        <v>10.5</v>
      </c>
      <c r="K102">
        <v>53036</v>
      </c>
      <c r="L102">
        <v>41992</v>
      </c>
      <c r="M102">
        <v>98.01</v>
      </c>
      <c r="N102">
        <v>5.48</v>
      </c>
      <c r="O102">
        <v>91.31</v>
      </c>
      <c r="P102">
        <v>13.89</v>
      </c>
      <c r="Q102">
        <v>758.9</v>
      </c>
      <c r="R102">
        <v>56.2</v>
      </c>
      <c r="S102">
        <v>0.83099999999999996</v>
      </c>
      <c r="T102">
        <v>5485</v>
      </c>
      <c r="U102">
        <v>8605</v>
      </c>
      <c r="W102" s="54" t="s">
        <v>134</v>
      </c>
      <c r="X102" s="18"/>
      <c r="Y102" s="18"/>
      <c r="Z102" s="18"/>
      <c r="AA102" s="18"/>
      <c r="AB102" s="18"/>
      <c r="AD102" s="21">
        <v>17.98</v>
      </c>
      <c r="AE102" s="21">
        <v>0</v>
      </c>
      <c r="AF102" s="21">
        <v>13349.5</v>
      </c>
      <c r="AG102" s="21">
        <v>688</v>
      </c>
      <c r="AH102" s="21">
        <v>130.01</v>
      </c>
      <c r="AI102" s="21">
        <v>10.210000000000001</v>
      </c>
      <c r="AK102" s="21">
        <v>17.975000000000001</v>
      </c>
      <c r="AL102" s="21">
        <v>0</v>
      </c>
      <c r="AM102" s="21">
        <v>13351.3</v>
      </c>
      <c r="AN102" s="21">
        <v>688</v>
      </c>
      <c r="AO102" s="21">
        <v>101.22</v>
      </c>
      <c r="AP102" s="21">
        <v>10.210000000000001</v>
      </c>
      <c r="AR102" s="21">
        <v>17.975000000000001</v>
      </c>
      <c r="AS102" s="21">
        <v>0</v>
      </c>
      <c r="AT102" s="21">
        <v>13349.6</v>
      </c>
      <c r="AU102" s="21">
        <v>688</v>
      </c>
      <c r="AV102" s="21">
        <v>72.42</v>
      </c>
      <c r="AW102" s="21">
        <v>10.210000000000001</v>
      </c>
      <c r="AY102" s="21">
        <v>17.975000000000001</v>
      </c>
      <c r="AZ102" s="21">
        <v>0</v>
      </c>
      <c r="BA102" s="21">
        <v>13265.4</v>
      </c>
      <c r="BB102" s="21">
        <v>688</v>
      </c>
      <c r="BC102" s="21">
        <v>43.26</v>
      </c>
      <c r="BD102" s="21">
        <v>10.52</v>
      </c>
    </row>
    <row r="103" spans="2:56" x14ac:dyDescent="0.3">
      <c r="J103">
        <v>10.6</v>
      </c>
      <c r="K103">
        <v>53599</v>
      </c>
      <c r="L103">
        <v>42554</v>
      </c>
      <c r="M103">
        <v>97.94</v>
      </c>
      <c r="N103">
        <v>5.53</v>
      </c>
      <c r="O103">
        <v>91.16</v>
      </c>
      <c r="P103">
        <v>13.87</v>
      </c>
      <c r="Q103">
        <v>761</v>
      </c>
      <c r="R103">
        <v>56.3</v>
      </c>
      <c r="S103">
        <v>0.83199999999999996</v>
      </c>
      <c r="T103">
        <v>5491</v>
      </c>
      <c r="U103">
        <v>8648</v>
      </c>
      <c r="W103" s="21">
        <v>17.975000000000001</v>
      </c>
      <c r="X103" s="21">
        <v>0</v>
      </c>
      <c r="Y103" s="21">
        <v>12293.9</v>
      </c>
      <c r="Z103" s="21">
        <v>1483</v>
      </c>
      <c r="AA103" s="21">
        <v>158.59</v>
      </c>
      <c r="AB103" s="21">
        <v>10.119999999999999</v>
      </c>
      <c r="AD103" s="54" t="s">
        <v>134</v>
      </c>
      <c r="AE103" s="18"/>
      <c r="AF103" s="18"/>
      <c r="AG103" s="18"/>
      <c r="AH103" s="18"/>
      <c r="AI103" s="18"/>
      <c r="AK103" s="54" t="s">
        <v>134</v>
      </c>
      <c r="AL103" s="18"/>
      <c r="AM103" s="18"/>
      <c r="AN103" s="18"/>
      <c r="AO103" s="18"/>
      <c r="AP103" s="18"/>
      <c r="AR103" s="54" t="s">
        <v>134</v>
      </c>
      <c r="AS103" s="18"/>
      <c r="AT103" s="18"/>
      <c r="AU103" s="18"/>
      <c r="AV103" s="18"/>
      <c r="AW103" s="18"/>
      <c r="AY103" s="54" t="s">
        <v>134</v>
      </c>
      <c r="AZ103" s="18"/>
      <c r="BA103" s="18"/>
      <c r="BB103" s="18"/>
      <c r="BC103" s="18"/>
      <c r="BD103" s="18"/>
    </row>
    <row r="104" spans="2:56" x14ac:dyDescent="0.3">
      <c r="J104">
        <v>10.7</v>
      </c>
      <c r="K104">
        <v>54162</v>
      </c>
      <c r="L104">
        <v>43118</v>
      </c>
      <c r="M104">
        <v>97.87</v>
      </c>
      <c r="N104">
        <v>5.59</v>
      </c>
      <c r="O104">
        <v>91.01</v>
      </c>
      <c r="P104">
        <v>13.85</v>
      </c>
      <c r="Q104">
        <v>763</v>
      </c>
      <c r="R104">
        <v>56.3</v>
      </c>
      <c r="S104">
        <v>0.83299999999999996</v>
      </c>
      <c r="T104">
        <v>5496</v>
      </c>
      <c r="U104">
        <v>8691</v>
      </c>
      <c r="AD104" s="19">
        <v>17.98</v>
      </c>
      <c r="AE104" s="19">
        <v>0</v>
      </c>
      <c r="AF104" s="19">
        <v>13347.7</v>
      </c>
      <c r="AG104" s="19">
        <v>709</v>
      </c>
      <c r="AH104" s="19">
        <v>130.01</v>
      </c>
      <c r="AI104" s="19">
        <v>10.210000000000001</v>
      </c>
      <c r="AK104" s="19">
        <v>17.975000000000001</v>
      </c>
      <c r="AL104" s="19">
        <v>0</v>
      </c>
      <c r="AM104" s="19">
        <v>13349.5</v>
      </c>
      <c r="AN104" s="19">
        <v>710</v>
      </c>
      <c r="AO104" s="19">
        <v>101.22</v>
      </c>
      <c r="AP104" s="19">
        <v>10.210000000000001</v>
      </c>
      <c r="AR104" s="19">
        <v>17.972000000000001</v>
      </c>
      <c r="AS104" s="19">
        <v>0</v>
      </c>
      <c r="AT104" s="19">
        <v>13347.8</v>
      </c>
      <c r="AU104" s="19">
        <v>709</v>
      </c>
      <c r="AV104" s="19">
        <v>72.42</v>
      </c>
      <c r="AW104" s="19">
        <v>10.210000000000001</v>
      </c>
      <c r="AY104" s="19">
        <v>17.975000000000001</v>
      </c>
      <c r="AZ104" s="19">
        <v>0</v>
      </c>
      <c r="BA104" s="19">
        <v>13187.2</v>
      </c>
      <c r="BB104" s="19">
        <v>1502</v>
      </c>
      <c r="BC104" s="19">
        <v>43.26</v>
      </c>
      <c r="BD104" s="19">
        <v>10.52</v>
      </c>
    </row>
    <row r="105" spans="2:56" x14ac:dyDescent="0.3">
      <c r="B105" s="54" t="s">
        <v>79</v>
      </c>
      <c r="C105" s="52" t="s">
        <v>13</v>
      </c>
      <c r="D105" s="52" t="s">
        <v>14</v>
      </c>
      <c r="E105" s="52" t="s">
        <v>15</v>
      </c>
      <c r="F105" s="52" t="s">
        <v>16</v>
      </c>
      <c r="G105" s="52" t="s">
        <v>17</v>
      </c>
      <c r="H105" s="52" t="s">
        <v>18</v>
      </c>
      <c r="J105">
        <v>10.8</v>
      </c>
      <c r="K105">
        <v>54725</v>
      </c>
      <c r="L105">
        <v>43681</v>
      </c>
      <c r="M105">
        <v>97.8</v>
      </c>
      <c r="N105">
        <v>5.64</v>
      </c>
      <c r="O105">
        <v>90.85</v>
      </c>
      <c r="P105">
        <v>13.83</v>
      </c>
      <c r="Q105">
        <v>764.8</v>
      </c>
      <c r="R105">
        <v>56.4</v>
      </c>
      <c r="S105">
        <v>0.83399999999999996</v>
      </c>
      <c r="T105">
        <v>5501</v>
      </c>
      <c r="U105">
        <v>8733</v>
      </c>
    </row>
    <row r="106" spans="2:56" x14ac:dyDescent="0.3">
      <c r="B106" s="52" t="s">
        <v>80</v>
      </c>
      <c r="C106" s="20">
        <v>4.9000000000000004</v>
      </c>
      <c r="D106" s="20">
        <v>4.8</v>
      </c>
      <c r="E106" s="20">
        <v>16.23</v>
      </c>
      <c r="F106" s="20">
        <v>-2.4500000000000002</v>
      </c>
      <c r="G106" s="20">
        <v>1.5</v>
      </c>
      <c r="H106" s="20">
        <v>1</v>
      </c>
      <c r="J106">
        <v>10.9</v>
      </c>
      <c r="K106">
        <v>55289</v>
      </c>
      <c r="L106">
        <v>44245</v>
      </c>
      <c r="M106">
        <v>97.72</v>
      </c>
      <c r="N106">
        <v>5.69</v>
      </c>
      <c r="O106">
        <v>90.7</v>
      </c>
      <c r="P106">
        <v>13.81</v>
      </c>
      <c r="Q106">
        <v>766.4</v>
      </c>
      <c r="R106">
        <v>56.4</v>
      </c>
      <c r="S106">
        <v>0.83499999999999996</v>
      </c>
      <c r="T106">
        <v>5506</v>
      </c>
      <c r="U106">
        <v>8776</v>
      </c>
    </row>
    <row r="107" spans="2:56" x14ac:dyDescent="0.3">
      <c r="B107" s="52" t="s">
        <v>81</v>
      </c>
      <c r="C107" s="22">
        <v>9.1</v>
      </c>
      <c r="D107" s="22">
        <v>8.9</v>
      </c>
      <c r="E107" s="22">
        <v>17.25</v>
      </c>
      <c r="F107" s="22">
        <v>2.56</v>
      </c>
      <c r="G107" s="22">
        <v>1.46</v>
      </c>
      <c r="H107" s="22">
        <v>2</v>
      </c>
      <c r="J107">
        <v>11</v>
      </c>
      <c r="K107">
        <v>55854</v>
      </c>
      <c r="L107">
        <v>44810</v>
      </c>
      <c r="M107">
        <v>97.65</v>
      </c>
      <c r="N107">
        <v>5.75</v>
      </c>
      <c r="O107">
        <v>90.54</v>
      </c>
      <c r="P107">
        <v>13.79</v>
      </c>
      <c r="Q107">
        <v>767.9</v>
      </c>
      <c r="R107">
        <v>56.5</v>
      </c>
      <c r="S107">
        <v>0.83599999999999997</v>
      </c>
      <c r="T107">
        <v>5510</v>
      </c>
      <c r="U107">
        <v>8819</v>
      </c>
    </row>
    <row r="108" spans="2:56" x14ac:dyDescent="0.3">
      <c r="B108" s="52" t="s">
        <v>82</v>
      </c>
      <c r="C108" s="20">
        <v>4.5</v>
      </c>
      <c r="D108" s="20">
        <v>4.4000000000000004</v>
      </c>
      <c r="E108" s="20">
        <v>8.89</v>
      </c>
      <c r="F108" s="20">
        <v>0</v>
      </c>
      <c r="G108" s="20">
        <v>1.58</v>
      </c>
      <c r="H108" s="20">
        <v>3</v>
      </c>
      <c r="J108">
        <v>11.1</v>
      </c>
      <c r="K108">
        <v>56419</v>
      </c>
      <c r="L108">
        <v>45375</v>
      </c>
      <c r="M108">
        <v>97.58</v>
      </c>
      <c r="N108">
        <v>5.8</v>
      </c>
      <c r="O108">
        <v>90.38</v>
      </c>
      <c r="P108">
        <v>13.77</v>
      </c>
      <c r="Q108">
        <v>769.1</v>
      </c>
      <c r="R108">
        <v>56.5</v>
      </c>
      <c r="S108">
        <v>0.83699999999999997</v>
      </c>
      <c r="T108">
        <v>5514</v>
      </c>
      <c r="U108">
        <v>8862</v>
      </c>
    </row>
    <row r="109" spans="2:56" x14ac:dyDescent="0.3">
      <c r="B109" s="18"/>
      <c r="C109" s="2"/>
      <c r="D109" s="2"/>
      <c r="E109" s="2"/>
      <c r="F109" s="2"/>
      <c r="G109" s="2"/>
      <c r="H109" s="2"/>
      <c r="J109">
        <v>11.2</v>
      </c>
      <c r="K109">
        <v>56984</v>
      </c>
      <c r="L109">
        <v>45940</v>
      </c>
      <c r="M109">
        <v>97.51</v>
      </c>
      <c r="N109">
        <v>5.85</v>
      </c>
      <c r="O109">
        <v>90.21</v>
      </c>
      <c r="P109">
        <v>13.76</v>
      </c>
      <c r="Q109">
        <v>770.1</v>
      </c>
      <c r="R109">
        <v>56.5</v>
      </c>
      <c r="S109">
        <v>0.83799999999999997</v>
      </c>
      <c r="T109">
        <v>5517</v>
      </c>
      <c r="U109">
        <v>8905</v>
      </c>
    </row>
    <row r="110" spans="2:56" x14ac:dyDescent="0.3">
      <c r="B110" s="52" t="s">
        <v>83</v>
      </c>
      <c r="C110" s="22">
        <v>18.5</v>
      </c>
      <c r="D110" s="22">
        <v>18.100000000000001</v>
      </c>
      <c r="E110" s="22">
        <v>14.95</v>
      </c>
      <c r="F110" s="22">
        <v>0.61</v>
      </c>
      <c r="G110" s="22">
        <v>1.5</v>
      </c>
      <c r="H110" s="18"/>
      <c r="J110">
        <v>11.3</v>
      </c>
      <c r="K110">
        <v>57550</v>
      </c>
      <c r="L110">
        <v>46506</v>
      </c>
      <c r="M110">
        <v>97.44</v>
      </c>
      <c r="N110">
        <v>5.91</v>
      </c>
      <c r="O110">
        <v>90.04</v>
      </c>
      <c r="P110">
        <v>13.75</v>
      </c>
      <c r="Q110">
        <v>770.7</v>
      </c>
      <c r="R110">
        <v>56.6</v>
      </c>
      <c r="S110">
        <v>0.83799999999999997</v>
      </c>
      <c r="T110">
        <v>5519</v>
      </c>
      <c r="U110">
        <v>8949</v>
      </c>
    </row>
    <row r="111" spans="2:56" x14ac:dyDescent="0.3">
      <c r="J111">
        <v>11.4</v>
      </c>
      <c r="K111">
        <v>58116</v>
      </c>
      <c r="L111">
        <v>47072</v>
      </c>
      <c r="M111">
        <v>97.36</v>
      </c>
      <c r="N111">
        <v>5.96</v>
      </c>
      <c r="O111">
        <v>89.89</v>
      </c>
      <c r="P111">
        <v>13.74</v>
      </c>
      <c r="Q111">
        <v>771.9</v>
      </c>
      <c r="R111">
        <v>56.6</v>
      </c>
      <c r="S111">
        <v>0.83899999999999997</v>
      </c>
      <c r="T111">
        <v>5523</v>
      </c>
      <c r="U111">
        <v>8992</v>
      </c>
    </row>
    <row r="112" spans="2:56" x14ac:dyDescent="0.3">
      <c r="J112">
        <v>11.5</v>
      </c>
      <c r="K112">
        <v>58682</v>
      </c>
      <c r="L112">
        <v>47638</v>
      </c>
      <c r="M112">
        <v>97.29</v>
      </c>
      <c r="N112">
        <v>6.01</v>
      </c>
      <c r="O112">
        <v>89.8</v>
      </c>
      <c r="P112">
        <v>13.73</v>
      </c>
      <c r="Q112">
        <v>774.4</v>
      </c>
      <c r="R112">
        <v>56.7</v>
      </c>
      <c r="S112">
        <v>0.84</v>
      </c>
      <c r="T112">
        <v>5529</v>
      </c>
      <c r="U112">
        <v>9032</v>
      </c>
    </row>
    <row r="113" spans="2:21" x14ac:dyDescent="0.3">
      <c r="J113">
        <v>11.6</v>
      </c>
      <c r="K113">
        <v>59249</v>
      </c>
      <c r="L113">
        <v>48205</v>
      </c>
      <c r="M113">
        <v>97.22</v>
      </c>
      <c r="N113">
        <v>6.07</v>
      </c>
      <c r="O113">
        <v>89.7</v>
      </c>
      <c r="P113">
        <v>13.72</v>
      </c>
      <c r="Q113">
        <v>776.8</v>
      </c>
      <c r="R113">
        <v>56.7</v>
      </c>
      <c r="S113">
        <v>0.84099999999999997</v>
      </c>
      <c r="T113">
        <v>5536</v>
      </c>
      <c r="U113">
        <v>9073</v>
      </c>
    </row>
    <row r="114" spans="2:21" x14ac:dyDescent="0.3">
      <c r="J114">
        <v>11.7</v>
      </c>
      <c r="K114">
        <v>59817</v>
      </c>
      <c r="L114">
        <v>48773</v>
      </c>
      <c r="M114">
        <v>97.15</v>
      </c>
      <c r="N114">
        <v>6.12</v>
      </c>
      <c r="O114">
        <v>89.61</v>
      </c>
      <c r="P114">
        <v>13.71</v>
      </c>
      <c r="Q114">
        <v>779.2</v>
      </c>
      <c r="R114">
        <v>56.8</v>
      </c>
      <c r="S114">
        <v>0.84199999999999997</v>
      </c>
      <c r="T114">
        <v>5542</v>
      </c>
      <c r="U114">
        <v>9113</v>
      </c>
    </row>
    <row r="115" spans="2:21" x14ac:dyDescent="0.3">
      <c r="B115" s="54" t="s">
        <v>84</v>
      </c>
      <c r="C115" s="52" t="s">
        <v>13</v>
      </c>
      <c r="D115" s="52" t="s">
        <v>14</v>
      </c>
      <c r="E115" s="52" t="s">
        <v>15</v>
      </c>
      <c r="F115" s="52" t="s">
        <v>16</v>
      </c>
      <c r="G115" s="52" t="s">
        <v>17</v>
      </c>
      <c r="H115" s="52" t="s">
        <v>18</v>
      </c>
      <c r="J115">
        <v>11.8</v>
      </c>
      <c r="K115">
        <v>60385</v>
      </c>
      <c r="L115">
        <v>49341</v>
      </c>
      <c r="M115">
        <v>97.07</v>
      </c>
      <c r="N115">
        <v>6.17</v>
      </c>
      <c r="O115">
        <v>89.52</v>
      </c>
      <c r="P115">
        <v>13.7</v>
      </c>
      <c r="Q115">
        <v>781.5</v>
      </c>
      <c r="R115">
        <v>56.9</v>
      </c>
      <c r="S115">
        <v>0.84199999999999997</v>
      </c>
      <c r="T115">
        <v>5548</v>
      </c>
      <c r="U115">
        <v>9153</v>
      </c>
    </row>
    <row r="116" spans="2:21" x14ac:dyDescent="0.3">
      <c r="B116" s="52" t="s">
        <v>85</v>
      </c>
      <c r="C116">
        <v>8.8000000000000007</v>
      </c>
      <c r="D116">
        <v>8.6</v>
      </c>
      <c r="E116">
        <v>7.26</v>
      </c>
      <c r="F116">
        <v>0</v>
      </c>
      <c r="G116">
        <v>3.23</v>
      </c>
      <c r="H116">
        <v>2</v>
      </c>
      <c r="J116">
        <v>11.9</v>
      </c>
      <c r="K116">
        <v>60954</v>
      </c>
      <c r="L116">
        <v>49910</v>
      </c>
      <c r="M116">
        <v>97</v>
      </c>
      <c r="N116">
        <v>6.22</v>
      </c>
      <c r="O116">
        <v>89.44</v>
      </c>
      <c r="P116">
        <v>13.7</v>
      </c>
      <c r="Q116">
        <v>783.7</v>
      </c>
      <c r="R116">
        <v>56.9</v>
      </c>
      <c r="S116">
        <v>0.84299999999999997</v>
      </c>
      <c r="T116">
        <v>5554</v>
      </c>
      <c r="U116">
        <v>9193</v>
      </c>
    </row>
    <row r="117" spans="2:21" x14ac:dyDescent="0.3">
      <c r="B117" s="52" t="s">
        <v>86</v>
      </c>
      <c r="C117">
        <v>124.6</v>
      </c>
      <c r="D117">
        <v>122.1</v>
      </c>
      <c r="E117">
        <v>8.9600000000000009</v>
      </c>
      <c r="F117">
        <v>8.82</v>
      </c>
      <c r="G117">
        <v>11.61</v>
      </c>
      <c r="H117">
        <v>224</v>
      </c>
      <c r="J117">
        <v>12</v>
      </c>
      <c r="K117">
        <v>61524</v>
      </c>
      <c r="L117">
        <v>50480</v>
      </c>
      <c r="M117">
        <v>96.93</v>
      </c>
      <c r="N117">
        <v>6.28</v>
      </c>
      <c r="O117">
        <v>89.35</v>
      </c>
      <c r="P117">
        <v>13.69</v>
      </c>
      <c r="Q117">
        <v>785.9</v>
      </c>
      <c r="R117">
        <v>57</v>
      </c>
      <c r="S117">
        <v>0.84399999999999997</v>
      </c>
      <c r="T117">
        <v>5559</v>
      </c>
      <c r="U117">
        <v>9233</v>
      </c>
    </row>
    <row r="118" spans="2:21" x14ac:dyDescent="0.3">
      <c r="B118" s="52" t="s">
        <v>87</v>
      </c>
      <c r="C118">
        <v>35</v>
      </c>
      <c r="D118">
        <v>34.299999999999997</v>
      </c>
      <c r="E118">
        <v>23.4</v>
      </c>
      <c r="F118">
        <v>3.18</v>
      </c>
      <c r="G118">
        <v>1.27</v>
      </c>
      <c r="H118">
        <v>21</v>
      </c>
      <c r="J118">
        <v>12.1</v>
      </c>
      <c r="K118">
        <v>62094</v>
      </c>
      <c r="L118">
        <v>51050</v>
      </c>
      <c r="M118">
        <v>96.86</v>
      </c>
      <c r="N118">
        <v>6.33</v>
      </c>
      <c r="O118">
        <v>89.27</v>
      </c>
      <c r="P118">
        <v>13.69</v>
      </c>
      <c r="Q118">
        <v>788.1</v>
      </c>
      <c r="R118">
        <v>57</v>
      </c>
      <c r="S118">
        <v>0.84499999999999997</v>
      </c>
      <c r="T118">
        <v>5565</v>
      </c>
      <c r="U118">
        <v>9273</v>
      </c>
    </row>
    <row r="119" spans="2:21" x14ac:dyDescent="0.3">
      <c r="B119" s="52" t="s">
        <v>88</v>
      </c>
      <c r="C119">
        <v>17.399999999999999</v>
      </c>
      <c r="D119">
        <v>17.100000000000001</v>
      </c>
      <c r="E119">
        <v>11.95</v>
      </c>
      <c r="F119">
        <v>-0.18</v>
      </c>
      <c r="G119">
        <v>1.34</v>
      </c>
      <c r="H119">
        <v>20</v>
      </c>
      <c r="J119">
        <v>12.2</v>
      </c>
      <c r="K119">
        <v>62665</v>
      </c>
      <c r="L119">
        <v>51620</v>
      </c>
      <c r="M119">
        <v>96.79</v>
      </c>
      <c r="N119">
        <v>6.38</v>
      </c>
      <c r="O119">
        <v>89.19</v>
      </c>
      <c r="P119">
        <v>13.69</v>
      </c>
      <c r="Q119">
        <v>790.2</v>
      </c>
      <c r="R119">
        <v>57.1</v>
      </c>
      <c r="S119">
        <v>0.84599999999999997</v>
      </c>
      <c r="T119">
        <v>5570</v>
      </c>
      <c r="U119">
        <v>9313</v>
      </c>
    </row>
    <row r="120" spans="2:21" x14ac:dyDescent="0.3">
      <c r="B120" s="52" t="s">
        <v>89</v>
      </c>
      <c r="C120">
        <v>3.1</v>
      </c>
      <c r="D120">
        <v>3</v>
      </c>
      <c r="E120">
        <v>13.21</v>
      </c>
      <c r="F120">
        <v>1.03</v>
      </c>
      <c r="G120">
        <v>1.28</v>
      </c>
      <c r="H120">
        <v>1</v>
      </c>
      <c r="J120">
        <v>12.3</v>
      </c>
      <c r="K120">
        <v>63236</v>
      </c>
      <c r="L120">
        <v>52192</v>
      </c>
      <c r="M120">
        <v>96.72</v>
      </c>
      <c r="N120">
        <v>6.44</v>
      </c>
      <c r="O120">
        <v>89.11</v>
      </c>
      <c r="P120">
        <v>13.68</v>
      </c>
      <c r="Q120">
        <v>792.2</v>
      </c>
      <c r="R120">
        <v>57.1</v>
      </c>
      <c r="S120">
        <v>0.84599999999999997</v>
      </c>
      <c r="T120">
        <v>5576</v>
      </c>
      <c r="U120">
        <v>9353</v>
      </c>
    </row>
    <row r="121" spans="2:21" x14ac:dyDescent="0.3">
      <c r="B121" s="18"/>
      <c r="C121" s="2"/>
      <c r="D121" s="2"/>
      <c r="E121" s="2"/>
      <c r="F121" s="2"/>
      <c r="G121" s="2"/>
      <c r="H121" s="2"/>
      <c r="J121">
        <v>12.4</v>
      </c>
      <c r="K121">
        <v>63808</v>
      </c>
      <c r="L121">
        <v>52763</v>
      </c>
      <c r="M121">
        <v>96.66</v>
      </c>
      <c r="N121">
        <v>6.49</v>
      </c>
      <c r="O121">
        <v>89.03</v>
      </c>
      <c r="P121">
        <v>13.68</v>
      </c>
      <c r="Q121">
        <v>794.2</v>
      </c>
      <c r="R121">
        <v>57.2</v>
      </c>
      <c r="S121">
        <v>0.84699999999999998</v>
      </c>
      <c r="T121">
        <v>5581</v>
      </c>
      <c r="U121">
        <v>9392</v>
      </c>
    </row>
    <row r="122" spans="2:21" x14ac:dyDescent="0.3">
      <c r="B122" s="52" t="s">
        <v>90</v>
      </c>
      <c r="C122" s="21">
        <v>188.9</v>
      </c>
      <c r="D122" s="21">
        <v>185.2</v>
      </c>
      <c r="E122" s="21">
        <v>11.9</v>
      </c>
      <c r="F122" s="21">
        <v>6.41</v>
      </c>
      <c r="G122" s="21">
        <v>8.19</v>
      </c>
      <c r="H122" s="18"/>
      <c r="J122">
        <v>12.5</v>
      </c>
      <c r="K122">
        <v>64380</v>
      </c>
      <c r="L122">
        <v>53336</v>
      </c>
      <c r="M122">
        <v>96.59</v>
      </c>
      <c r="N122">
        <v>6.54</v>
      </c>
      <c r="O122">
        <v>88.96</v>
      </c>
      <c r="P122">
        <v>13.68</v>
      </c>
      <c r="Q122">
        <v>796.1</v>
      </c>
      <c r="R122">
        <v>57.3</v>
      </c>
      <c r="S122">
        <v>0.84799999999999998</v>
      </c>
      <c r="T122">
        <v>5586</v>
      </c>
      <c r="U122">
        <v>9432</v>
      </c>
    </row>
    <row r="123" spans="2:21" x14ac:dyDescent="0.3">
      <c r="J123">
        <v>12.6</v>
      </c>
      <c r="K123">
        <v>64953</v>
      </c>
      <c r="L123">
        <v>53909</v>
      </c>
      <c r="M123">
        <v>96.52</v>
      </c>
      <c r="N123">
        <v>6.6</v>
      </c>
      <c r="O123">
        <v>88.89</v>
      </c>
      <c r="P123">
        <v>13.68</v>
      </c>
      <c r="Q123">
        <v>798</v>
      </c>
      <c r="R123">
        <v>57.3</v>
      </c>
      <c r="S123">
        <v>0.84899999999999998</v>
      </c>
      <c r="T123">
        <v>5591</v>
      </c>
      <c r="U123">
        <v>9471</v>
      </c>
    </row>
    <row r="124" spans="2:21" x14ac:dyDescent="0.3">
      <c r="J124">
        <v>12.7</v>
      </c>
      <c r="K124">
        <v>65526</v>
      </c>
      <c r="L124">
        <v>54482</v>
      </c>
      <c r="M124">
        <v>96.45</v>
      </c>
      <c r="N124">
        <v>6.65</v>
      </c>
      <c r="O124">
        <v>88.81</v>
      </c>
      <c r="P124">
        <v>13.68</v>
      </c>
      <c r="Q124">
        <v>799.9</v>
      </c>
      <c r="R124">
        <v>57.4</v>
      </c>
      <c r="S124">
        <v>0.84899999999999998</v>
      </c>
      <c r="T124">
        <v>5596</v>
      </c>
      <c r="U124">
        <v>9511</v>
      </c>
    </row>
    <row r="125" spans="2:21" x14ac:dyDescent="0.3">
      <c r="J125">
        <v>12.8</v>
      </c>
      <c r="K125">
        <v>66100</v>
      </c>
      <c r="L125">
        <v>55056</v>
      </c>
      <c r="M125">
        <v>96.39</v>
      </c>
      <c r="N125">
        <v>6.7</v>
      </c>
      <c r="O125">
        <v>88.75</v>
      </c>
      <c r="P125">
        <v>13.69</v>
      </c>
      <c r="Q125">
        <v>801.7</v>
      </c>
      <c r="R125">
        <v>57.4</v>
      </c>
      <c r="S125">
        <v>0.85</v>
      </c>
      <c r="T125">
        <v>5600</v>
      </c>
      <c r="U125">
        <v>9550</v>
      </c>
    </row>
    <row r="126" spans="2:21" x14ac:dyDescent="0.3">
      <c r="J126">
        <v>12.9</v>
      </c>
      <c r="K126">
        <v>66674</v>
      </c>
      <c r="L126">
        <v>55630</v>
      </c>
      <c r="M126">
        <v>96.32</v>
      </c>
      <c r="N126">
        <v>6.75</v>
      </c>
      <c r="O126">
        <v>88.67</v>
      </c>
      <c r="P126">
        <v>13.69</v>
      </c>
      <c r="Q126">
        <v>803.4</v>
      </c>
      <c r="R126">
        <v>57.4</v>
      </c>
      <c r="S126">
        <v>0.85099999999999998</v>
      </c>
      <c r="T126">
        <v>5605</v>
      </c>
      <c r="U126">
        <v>9589</v>
      </c>
    </row>
    <row r="127" spans="2:21" x14ac:dyDescent="0.3">
      <c r="J127">
        <v>13</v>
      </c>
      <c r="K127">
        <v>67249</v>
      </c>
      <c r="L127">
        <v>56204</v>
      </c>
      <c r="M127">
        <v>96.25</v>
      </c>
      <c r="N127">
        <v>6.81</v>
      </c>
      <c r="O127">
        <v>88.61</v>
      </c>
      <c r="P127">
        <v>13.69</v>
      </c>
      <c r="Q127">
        <v>805.1</v>
      </c>
      <c r="R127">
        <v>57.5</v>
      </c>
      <c r="S127">
        <v>0.85199999999999998</v>
      </c>
      <c r="T127">
        <v>5609</v>
      </c>
      <c r="U127">
        <v>9628</v>
      </c>
    </row>
    <row r="128" spans="2:21" x14ac:dyDescent="0.3">
      <c r="J128">
        <v>13.1</v>
      </c>
      <c r="K128">
        <v>67824</v>
      </c>
      <c r="L128">
        <v>56780</v>
      </c>
      <c r="M128">
        <v>96.19</v>
      </c>
      <c r="N128">
        <v>6.86</v>
      </c>
      <c r="O128">
        <v>88.54</v>
      </c>
      <c r="P128">
        <v>13.7</v>
      </c>
      <c r="Q128">
        <v>806.8</v>
      </c>
      <c r="R128">
        <v>57.5</v>
      </c>
      <c r="S128">
        <v>0.85199999999999998</v>
      </c>
      <c r="T128">
        <v>5614</v>
      </c>
      <c r="U128">
        <v>9667</v>
      </c>
    </row>
    <row r="129" spans="10:21" x14ac:dyDescent="0.3">
      <c r="J129">
        <v>13.2</v>
      </c>
      <c r="K129">
        <v>68399</v>
      </c>
      <c r="L129">
        <v>57355</v>
      </c>
      <c r="M129">
        <v>96.13</v>
      </c>
      <c r="N129">
        <v>6.91</v>
      </c>
      <c r="O129">
        <v>88.48</v>
      </c>
      <c r="P129">
        <v>13.7</v>
      </c>
      <c r="Q129">
        <v>808.5</v>
      </c>
      <c r="R129">
        <v>57.6</v>
      </c>
      <c r="S129">
        <v>0.85299999999999998</v>
      </c>
      <c r="T129">
        <v>5618</v>
      </c>
      <c r="U129">
        <v>9707</v>
      </c>
    </row>
  </sheetData>
  <pageMargins left="0.7" right="0.7" top="0.75" bottom="0.75" header="0.3" footer="0.3"/>
  <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EA00-987B-4492-90FC-F6C5F2BFD298}">
  <sheetPr>
    <tabColor rgb="FFE2007D"/>
  </sheetPr>
  <dimension ref="E7:AL120"/>
  <sheetViews>
    <sheetView topLeftCell="D4" workbookViewId="0">
      <selection activeCell="F23" sqref="F23"/>
    </sheetView>
    <sheetView workbookViewId="1"/>
  </sheetViews>
  <sheetFormatPr baseColWidth="10" defaultRowHeight="14.4" x14ac:dyDescent="0.3"/>
  <cols>
    <col min="1" max="11" width="11.5546875" style="8"/>
    <col min="12" max="12" width="12.6640625" style="8" customWidth="1"/>
    <col min="13" max="16384" width="11.5546875" style="8"/>
  </cols>
  <sheetData>
    <row r="7" spans="5:38" x14ac:dyDescent="0.3">
      <c r="E7" s="54" t="s">
        <v>140</v>
      </c>
      <c r="F7"/>
      <c r="L7" s="54" t="s">
        <v>144</v>
      </c>
      <c r="M7"/>
    </row>
    <row r="8" spans="5:38" x14ac:dyDescent="0.3">
      <c r="E8" s="52" t="s">
        <v>143</v>
      </c>
      <c r="F8" s="53" t="str">
        <f>Interfaz!F129</f>
        <v>Anchorage</v>
      </c>
      <c r="L8" s="52" t="s">
        <v>143</v>
      </c>
      <c r="M8" s="53" t="str">
        <f>Interfaz!K129</f>
        <v>Auckland</v>
      </c>
      <c r="Q8" s="53" t="s">
        <v>581</v>
      </c>
    </row>
    <row r="9" spans="5:38" x14ac:dyDescent="0.3">
      <c r="E9" s="61">
        <f>IFERROR(LOOKUP(F8,AC12:AC119,AG12:AG119),"")</f>
        <v>61.233333333333334</v>
      </c>
      <c r="F9" s="52" t="str">
        <f>IF(E9&gt;0,"N","S")</f>
        <v>N</v>
      </c>
      <c r="G9" s="61">
        <f>IFERROR(LOOKUP(F8,AC12:AC119,AK12:AK119),"")</f>
        <v>-149.88333333333333</v>
      </c>
      <c r="H9" s="52" t="str">
        <f>IF(G9&gt;0,"E","W")</f>
        <v>W</v>
      </c>
      <c r="L9" s="61">
        <f>IFERROR(LOOKUP(M8,AC12:AC119,AG12:AG119),"")</f>
        <v>-36.833333333333336</v>
      </c>
      <c r="M9" s="52" t="str">
        <f>IF(L9&gt;0,"N","S")</f>
        <v>S</v>
      </c>
      <c r="N9" s="61">
        <f>IFERROR(LOOKUP(M8,AC12:AC119,AK12:AK119),"")</f>
        <v>174.78333333333333</v>
      </c>
      <c r="O9" s="52" t="str">
        <f>IF(N9&gt;0,"E","W")</f>
        <v>E</v>
      </c>
    </row>
    <row r="10" spans="5:38" x14ac:dyDescent="0.3">
      <c r="E10" s="52" t="s">
        <v>141</v>
      </c>
      <c r="F10" s="52" t="s">
        <v>263</v>
      </c>
      <c r="G10" s="52" t="s">
        <v>142</v>
      </c>
      <c r="H10" s="52" t="s">
        <v>145</v>
      </c>
      <c r="L10" s="52" t="s">
        <v>141</v>
      </c>
      <c r="M10" s="52" t="s">
        <v>263</v>
      </c>
      <c r="N10" s="52" t="s">
        <v>142</v>
      </c>
      <c r="O10" s="52" t="s">
        <v>145</v>
      </c>
    </row>
    <row r="11" spans="5:38" x14ac:dyDescent="0.3">
      <c r="E11" s="55" cm="1">
        <f t="array" ref="E11:G11">Interfaz!E132:G132</f>
        <v>0</v>
      </c>
      <c r="F11" s="55">
        <v>0</v>
      </c>
      <c r="G11" s="55">
        <v>0</v>
      </c>
      <c r="H11" s="53" t="str">
        <f>Interfaz!H132</f>
        <v>N</v>
      </c>
      <c r="I11" s="32">
        <f>IF(H11="N",E11+F11/60+G11/(60*60),IF(H11="S",-E11-F11/60-G11/(60*60)))</f>
        <v>0</v>
      </c>
      <c r="L11" s="55" cm="1">
        <f t="array" ref="L11:N11">Interfaz!J132:L132</f>
        <v>0</v>
      </c>
      <c r="M11" s="55">
        <v>0</v>
      </c>
      <c r="N11" s="55">
        <v>0</v>
      </c>
      <c r="O11" s="53" t="str">
        <f>Interfaz!M132</f>
        <v>N</v>
      </c>
      <c r="P11" s="32">
        <f>IF(O11="N",L11+M11/60+N11/(60*60),IF(O11="S",-L11-M11/60-N11/(60*60)))</f>
        <v>0</v>
      </c>
      <c r="S11" s="29" t="s">
        <v>270</v>
      </c>
      <c r="T11" s="32">
        <f>LN(TAN(RADIANS(45+M14/2)))*180/PI()</f>
        <v>-39.66871356813764</v>
      </c>
      <c r="U11" s="30" t="s">
        <v>272</v>
      </c>
      <c r="V11" s="32">
        <f>T11+90</f>
        <v>50.33128643186236</v>
      </c>
      <c r="W11" s="29" t="s">
        <v>268</v>
      </c>
      <c r="X11" s="32">
        <f>O14</f>
        <v>174.78333333333333</v>
      </c>
      <c r="Y11" s="30" t="s">
        <v>273</v>
      </c>
      <c r="Z11" s="32">
        <f>X11+180</f>
        <v>354.7833333333333</v>
      </c>
      <c r="AC11" s="54" t="s">
        <v>147</v>
      </c>
      <c r="AD11" s="52" t="s">
        <v>148</v>
      </c>
      <c r="AE11" s="52" t="s">
        <v>149</v>
      </c>
      <c r="AF11" s="52" t="s">
        <v>150</v>
      </c>
      <c r="AH11" s="52" t="s">
        <v>151</v>
      </c>
      <c r="AI11" s="52" t="s">
        <v>152</v>
      </c>
      <c r="AJ11" s="52" t="s">
        <v>153</v>
      </c>
      <c r="AL11" s="52" t="s">
        <v>262</v>
      </c>
    </row>
    <row r="12" spans="5:38" x14ac:dyDescent="0.3">
      <c r="E12" s="52" t="s">
        <v>141</v>
      </c>
      <c r="F12" s="52" t="s">
        <v>263</v>
      </c>
      <c r="G12" s="52" t="s">
        <v>142</v>
      </c>
      <c r="H12" s="52" t="s">
        <v>146</v>
      </c>
      <c r="L12" s="52" t="s">
        <v>141</v>
      </c>
      <c r="M12" s="52" t="s">
        <v>263</v>
      </c>
      <c r="N12" s="52" t="s">
        <v>142</v>
      </c>
      <c r="O12" s="52" t="s">
        <v>146</v>
      </c>
      <c r="S12" s="29" t="s">
        <v>271</v>
      </c>
      <c r="T12" s="32">
        <f>LN(TAN(RADIANS(45+F14/2)))*180/PI()</f>
        <v>77.97015479949016</v>
      </c>
      <c r="U12" s="30" t="s">
        <v>272</v>
      </c>
      <c r="V12" s="32">
        <f>T12+90</f>
        <v>167.97015479949016</v>
      </c>
      <c r="W12" s="29" t="s">
        <v>269</v>
      </c>
      <c r="X12" s="32">
        <f>H14</f>
        <v>-149.88333333333333</v>
      </c>
      <c r="Y12" s="30" t="s">
        <v>273</v>
      </c>
      <c r="Z12" s="32">
        <f>X12+180</f>
        <v>30.116666666666674</v>
      </c>
      <c r="AC12" s="52" t="s">
        <v>261</v>
      </c>
      <c r="AD12">
        <v>56</v>
      </c>
      <c r="AE12">
        <v>9</v>
      </c>
      <c r="AF12">
        <v>0</v>
      </c>
      <c r="AG1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56.15</v>
      </c>
      <c r="AH12">
        <v>10</v>
      </c>
      <c r="AI12">
        <v>13</v>
      </c>
      <c r="AJ12">
        <v>0</v>
      </c>
      <c r="AK1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10.216666666666667</v>
      </c>
      <c r="AL12" s="52" t="s">
        <v>261</v>
      </c>
    </row>
    <row r="13" spans="5:38" x14ac:dyDescent="0.3">
      <c r="E13" s="55" cm="1">
        <f t="array" ref="E13:G13">Interfaz!E134:G134</f>
        <v>0</v>
      </c>
      <c r="F13" s="55">
        <v>0</v>
      </c>
      <c r="G13" s="55">
        <v>0</v>
      </c>
      <c r="H13" s="53" t="str">
        <f>Interfaz!H134</f>
        <v>W</v>
      </c>
      <c r="I13" s="32">
        <f>IF(H13="E",E13+F13/60+G13/(60*60),IF(H13="W",-E13-F13/60-G13/(60*60)))</f>
        <v>0</v>
      </c>
      <c r="L13" s="55" cm="1">
        <f t="array" ref="L13:N13">Interfaz!J134:L134</f>
        <v>0</v>
      </c>
      <c r="M13" s="55">
        <v>0</v>
      </c>
      <c r="N13" s="55">
        <v>0</v>
      </c>
      <c r="O13" s="53" t="str">
        <f>Interfaz!M134</f>
        <v>W</v>
      </c>
      <c r="P13" s="32">
        <f>IF(O13="E",L13+M13/60+N13/(60*60),IF(O13="W",-L13-M13/60-N13/(60*60)))</f>
        <v>0</v>
      </c>
      <c r="U13" s="29" t="s">
        <v>274</v>
      </c>
      <c r="V13" s="32">
        <f>ABS(V11-V12)</f>
        <v>117.63886836762779</v>
      </c>
      <c r="Y13" s="29" t="s">
        <v>275</v>
      </c>
      <c r="Z13" s="32">
        <f>IF(ABS(Z11-Z12)&gt;180,360-ABS(Z11-Z12),ABS(Z11-Z12))</f>
        <v>35.333333333333371</v>
      </c>
      <c r="AC13" s="52" t="s">
        <v>236</v>
      </c>
      <c r="AD13">
        <v>5</v>
      </c>
      <c r="AE13">
        <v>15</v>
      </c>
      <c r="AF13">
        <v>0</v>
      </c>
      <c r="AG1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5.25</v>
      </c>
      <c r="AH13">
        <v>-4</v>
      </c>
      <c r="AI13">
        <v>0</v>
      </c>
      <c r="AJ13">
        <v>0</v>
      </c>
      <c r="AK1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-4</v>
      </c>
      <c r="AL13" s="52" t="s">
        <v>236</v>
      </c>
    </row>
    <row r="14" spans="5:38" x14ac:dyDescent="0.3">
      <c r="E14" s="29" t="s">
        <v>264</v>
      </c>
      <c r="F14" s="31">
        <f>IF(F8="",0,IF(F8="Otro",I11,E9))</f>
        <v>61.233333333333334</v>
      </c>
      <c r="G14" s="29" t="s">
        <v>265</v>
      </c>
      <c r="H14" s="31">
        <f>IF(F8="",0,IF(F8="Otro",I13,G9))</f>
        <v>-149.88333333333333</v>
      </c>
      <c r="L14" s="29" t="s">
        <v>264</v>
      </c>
      <c r="M14" s="31">
        <f>IF(M8="",0,IF(M8="Otro",P11,L9))</f>
        <v>-36.833333333333336</v>
      </c>
      <c r="N14" s="29" t="s">
        <v>265</v>
      </c>
      <c r="O14" s="31">
        <f>IF(M8="",0,IF(M8="Otro",P13,N9))</f>
        <v>174.78333333333333</v>
      </c>
      <c r="P14"/>
      <c r="W14"/>
      <c r="AC14" s="52" t="s">
        <v>231</v>
      </c>
      <c r="AD14">
        <v>31</v>
      </c>
      <c r="AE14">
        <v>11</v>
      </c>
      <c r="AF14">
        <v>0</v>
      </c>
      <c r="AG1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31.183333333333334</v>
      </c>
      <c r="AH14">
        <v>29</v>
      </c>
      <c r="AI14">
        <v>52</v>
      </c>
      <c r="AJ14">
        <v>0</v>
      </c>
      <c r="AK1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29.866666666666667</v>
      </c>
      <c r="AL14" s="52" t="s">
        <v>231</v>
      </c>
    </row>
    <row r="15" spans="5:38" x14ac:dyDescent="0.3">
      <c r="S15" s="29" t="s">
        <v>267</v>
      </c>
      <c r="T15" s="31">
        <f>M14</f>
        <v>-36.833333333333336</v>
      </c>
      <c r="U15" s="30" t="s">
        <v>272</v>
      </c>
      <c r="V15" s="32">
        <f>T15+90</f>
        <v>53.166666666666664</v>
      </c>
      <c r="X15" s="29" t="s">
        <v>276</v>
      </c>
      <c r="Y15" s="32">
        <f>Z13/V13</f>
        <v>0.30035424365792779</v>
      </c>
      <c r="AC15" s="52" t="s">
        <v>181</v>
      </c>
      <c r="AD15">
        <v>36</v>
      </c>
      <c r="AE15">
        <v>8</v>
      </c>
      <c r="AF15">
        <v>0</v>
      </c>
      <c r="AG1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36.133333333333333</v>
      </c>
      <c r="AH15">
        <v>-5</v>
      </c>
      <c r="AI15">
        <v>26</v>
      </c>
      <c r="AJ15">
        <v>0</v>
      </c>
      <c r="AK1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-5.4333333333333336</v>
      </c>
      <c r="AL15" s="52" t="s">
        <v>181</v>
      </c>
    </row>
    <row r="16" spans="5:38" x14ac:dyDescent="0.3">
      <c r="S16" s="29" t="s">
        <v>266</v>
      </c>
      <c r="T16" s="31">
        <f>F14</f>
        <v>61.233333333333334</v>
      </c>
      <c r="U16" s="30" t="s">
        <v>272</v>
      </c>
      <c r="V16" s="32">
        <f>T16+90</f>
        <v>151.23333333333335</v>
      </c>
      <c r="X16" s="29" t="s">
        <v>277</v>
      </c>
      <c r="Y16" s="32">
        <f>ATAN(Y15)</f>
        <v>0.29178175696473713</v>
      </c>
      <c r="AC16" s="52" t="s">
        <v>165</v>
      </c>
      <c r="AD16">
        <v>51</v>
      </c>
      <c r="AE16">
        <v>13</v>
      </c>
      <c r="AF16">
        <v>0</v>
      </c>
      <c r="AG1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51.216666666666669</v>
      </c>
      <c r="AH16">
        <v>4</v>
      </c>
      <c r="AI16">
        <v>24</v>
      </c>
      <c r="AJ16">
        <v>0</v>
      </c>
      <c r="AK1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4.4000000000000004</v>
      </c>
      <c r="AL16" s="52" t="s">
        <v>165</v>
      </c>
    </row>
    <row r="17" spans="5:38" x14ac:dyDescent="0.3">
      <c r="E17" s="52" t="s">
        <v>281</v>
      </c>
      <c r="F17" s="55">
        <f>Interfaz!F137</f>
        <v>15</v>
      </c>
      <c r="L17" s="54" t="s">
        <v>292</v>
      </c>
      <c r="M17" s="61" t="str">
        <f>IFERROR(IF(ABS(Z11-Z12)&lt;=180, IF(AND(X24&gt;=MIN(Z11,Z12), X24&lt;=MAX(Z11,Z12)), "Posible", "No Posible"), IF(OR(X24&gt;=MAX(Z11,Z12), X24&lt;=MIN(Z11,Z12)), "Posible", "No Posible")),"")</f>
        <v>No Posible</v>
      </c>
      <c r="N17" s="52" t="s">
        <v>290</v>
      </c>
      <c r="O17" s="56">
        <f>IFERROR(V23,0)</f>
        <v>76.826168566939458</v>
      </c>
      <c r="P17" s="52" t="str">
        <f>IFERROR(IF(V22&lt;0,"S","N"),0)</f>
        <v>S</v>
      </c>
      <c r="T17"/>
      <c r="U17" s="29" t="s">
        <v>279</v>
      </c>
      <c r="V17" s="32">
        <f>ABS(V15-V16)</f>
        <v>98.066666666666691</v>
      </c>
      <c r="X17"/>
      <c r="Y17"/>
      <c r="AC17" s="52" t="s">
        <v>251</v>
      </c>
      <c r="AD17">
        <v>61</v>
      </c>
      <c r="AE17">
        <v>14</v>
      </c>
      <c r="AF17">
        <v>0</v>
      </c>
      <c r="AG1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61.233333333333334</v>
      </c>
      <c r="AH17">
        <v>-149</v>
      </c>
      <c r="AI17">
        <v>53</v>
      </c>
      <c r="AJ17">
        <v>0</v>
      </c>
      <c r="AK1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-149.88333333333333</v>
      </c>
      <c r="AL17" s="52" t="s">
        <v>251</v>
      </c>
    </row>
    <row r="18" spans="5:38" x14ac:dyDescent="0.3">
      <c r="O18" s="56">
        <f>IFERROR(IF(X23&lt;0,X23*(-1),X23),0)</f>
        <v>85.119602722620812</v>
      </c>
      <c r="P18" s="52" t="str">
        <f>IFERROR(IF(X23&gt;0,"E","W"),0)</f>
        <v>W</v>
      </c>
      <c r="X18" s="29" t="s">
        <v>278</v>
      </c>
      <c r="Y18" s="32">
        <f>V17*_xlfn.SEC(Y16)*60</f>
        <v>6143.6756134521565</v>
      </c>
      <c r="AC18" s="52" t="s">
        <v>230</v>
      </c>
      <c r="AD18">
        <v>31</v>
      </c>
      <c r="AE18">
        <v>49</v>
      </c>
      <c r="AF18">
        <v>0</v>
      </c>
      <c r="AG1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31.816666666666666</v>
      </c>
      <c r="AH18">
        <v>34</v>
      </c>
      <c r="AI18">
        <v>39</v>
      </c>
      <c r="AJ18">
        <v>0</v>
      </c>
      <c r="AK1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34.65</v>
      </c>
      <c r="AL18" s="52" t="s">
        <v>230</v>
      </c>
    </row>
    <row r="19" spans="5:38" x14ac:dyDescent="0.3">
      <c r="E19" s="52" t="s">
        <v>280</v>
      </c>
      <c r="F19" s="56">
        <f>IFERROR(Y18,0)</f>
        <v>6143.6756134521565</v>
      </c>
      <c r="G19" s="61" t="s">
        <v>287</v>
      </c>
      <c r="I19" s="52" t="s">
        <v>283</v>
      </c>
      <c r="J19" s="56">
        <f>T21</f>
        <v>6131.8240075925596</v>
      </c>
      <c r="W19"/>
      <c r="X19"/>
      <c r="Y19"/>
      <c r="AC19" s="52" t="s">
        <v>248</v>
      </c>
      <c r="AD19">
        <v>-36</v>
      </c>
      <c r="AE19">
        <v>50</v>
      </c>
      <c r="AF19">
        <v>0</v>
      </c>
      <c r="AG1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-36.833333333333336</v>
      </c>
      <c r="AH19">
        <v>174</v>
      </c>
      <c r="AI19">
        <v>47</v>
      </c>
      <c r="AJ19">
        <v>0</v>
      </c>
      <c r="AK1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174.78333333333333</v>
      </c>
      <c r="AL19" s="52" t="s">
        <v>248</v>
      </c>
    </row>
    <row r="20" spans="5:38" x14ac:dyDescent="0.3">
      <c r="E20" s="52" t="s">
        <v>282</v>
      </c>
      <c r="F20" s="56">
        <f>IFERROR(F19/(F17*24),"")</f>
        <v>17.065765592922656</v>
      </c>
      <c r="G20" s="52" t="s">
        <v>286</v>
      </c>
      <c r="H20" s="56">
        <f>F19-J19</f>
        <v>11.85160585959693</v>
      </c>
      <c r="I20" s="52" t="s">
        <v>284</v>
      </c>
      <c r="J20" s="56">
        <f>IFERROR(J19/(F17*24),"")</f>
        <v>17.032844465534886</v>
      </c>
      <c r="L20" s="52" t="s">
        <v>291</v>
      </c>
      <c r="M20" s="52" t="s">
        <v>141</v>
      </c>
      <c r="N20" s="52" t="s">
        <v>263</v>
      </c>
      <c r="O20" s="52" t="s">
        <v>142</v>
      </c>
      <c r="P20" s="52" t="s">
        <v>145</v>
      </c>
      <c r="S20" s="29" t="s">
        <v>285</v>
      </c>
      <c r="T20" s="32">
        <f>SIN(RADIANS(F14))*SIN(RADIANS(M14))+COS(RADIANS(F14))*COS(RADIANS(M14))*COS(RADIANS(Z13))</f>
        <v>-0.21127475823567826</v>
      </c>
      <c r="U20" s="29" t="s">
        <v>297</v>
      </c>
      <c r="V20" s="32">
        <f>COS(RADIANS(F14))*TAN(RADIANS(M14))*_xlfn.CSC(RADIANS(Z13))-SIN(RADIANS(F14))*_xlfn.COT(RADIANS(Z13))</f>
        <v>-1.8597850346729436</v>
      </c>
      <c r="W20" s="29" t="s">
        <v>299</v>
      </c>
      <c r="X20" s="32">
        <f>TAN(RADIANS(F14))*_xlfn.COT(RADIANS(V23))</f>
        <v>0.42635198007551189</v>
      </c>
      <c r="Y20" s="29" t="s">
        <v>301</v>
      </c>
      <c r="Z20" s="32" t="e">
        <f>ACOS(SIN(RADIANS(F14))/SIN(RADIANS(Q21)))*180/PI()*60</f>
        <v>#DIV/0!</v>
      </c>
      <c r="AC20" s="52" t="s">
        <v>206</v>
      </c>
      <c r="AD20">
        <v>8</v>
      </c>
      <c r="AE20">
        <v>57</v>
      </c>
      <c r="AF20">
        <v>0</v>
      </c>
      <c r="AG20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8.9499999999999993</v>
      </c>
      <c r="AH20">
        <v>-79</v>
      </c>
      <c r="AI20">
        <v>34</v>
      </c>
      <c r="AJ20">
        <v>0</v>
      </c>
      <c r="AK20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-79.566666666666663</v>
      </c>
      <c r="AL20" s="52" t="s">
        <v>206</v>
      </c>
    </row>
    <row r="21" spans="5:38" x14ac:dyDescent="0.3">
      <c r="M21" s="55"/>
      <c r="N21" s="55"/>
      <c r="O21" s="55"/>
      <c r="P21" s="53" t="s">
        <v>309</v>
      </c>
      <c r="Q21" s="32">
        <f>IF(P21="N",M21+N21/60+O21/(60*60),IF(P21="S",-M21-N21/60-O21/(60*60)))</f>
        <v>0</v>
      </c>
      <c r="S21" s="29" t="s">
        <v>283</v>
      </c>
      <c r="T21" s="32">
        <f>ACOS(T20)*60*180/PI()</f>
        <v>6131.8240075925596</v>
      </c>
      <c r="U21" s="29" t="s">
        <v>298</v>
      </c>
      <c r="V21" s="32">
        <f>ATAN(1/V20)*180/PI()</f>
        <v>-28.266766214705779</v>
      </c>
      <c r="W21" s="29" t="s">
        <v>300</v>
      </c>
      <c r="X21" s="32">
        <f>ACOS(IF(X20&lt;0,(-1)*X20,X20))*180/PI()</f>
        <v>64.763730610712514</v>
      </c>
      <c r="Y21" s="29" t="s">
        <v>302</v>
      </c>
      <c r="Z21" s="32" t="e">
        <f>ACOS(SIN(RADIANS(M14))/SIN(RADIANS(Q21)))*180/PI()*60</f>
        <v>#DIV/0!</v>
      </c>
      <c r="AA21" s="30" t="s">
        <v>273</v>
      </c>
      <c r="AB21" s="25"/>
      <c r="AC21" s="52" t="s">
        <v>242</v>
      </c>
      <c r="AD21">
        <v>13</v>
      </c>
      <c r="AE21">
        <v>42</v>
      </c>
      <c r="AF21">
        <v>0</v>
      </c>
      <c r="AG21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13.7</v>
      </c>
      <c r="AH21">
        <v>100</v>
      </c>
      <c r="AI21">
        <v>34</v>
      </c>
      <c r="AJ21">
        <v>0</v>
      </c>
      <c r="AK21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100.56666666666666</v>
      </c>
      <c r="AL21" s="52" t="s">
        <v>242</v>
      </c>
    </row>
    <row r="22" spans="5:38" x14ac:dyDescent="0.3">
      <c r="E22" s="54" t="s">
        <v>308</v>
      </c>
      <c r="F22" s="53" t="str">
        <f>Interfaz!F142</f>
        <v>GC</v>
      </c>
      <c r="L22" s="52" t="s">
        <v>293</v>
      </c>
      <c r="M22" s="56">
        <f>IFERROR(Z20+Z21+Z25,0)</f>
        <v>0</v>
      </c>
      <c r="U22" s="29" t="s">
        <v>296</v>
      </c>
      <c r="V22" s="32">
        <f>SIN(RADIANS(V21))*COS(RADIANS(F14))</f>
        <v>-0.2279061859011775</v>
      </c>
      <c r="X22" s="32">
        <f>IF(Z12+X21&lt;0,Z12+X21+360,IF(Z12+X21&gt;360,Z12+X21-360,Z12+X21))</f>
        <v>94.880397277379188</v>
      </c>
      <c r="Y22" s="29" t="s">
        <v>303</v>
      </c>
      <c r="Z22" s="32" t="e">
        <f>ACOS(TAN(RADIANS(F14))/TAN(RADIANS(Q21)))*180/PI()</f>
        <v>#DIV/0!</v>
      </c>
      <c r="AA22" s="32" t="e">
        <f>MOD(Z12 + IF(OR(AND(Z11&gt;Z12, (Z11-Z12)&lt;=180), AND(Z12&gt;Z11, (Z12-Z11)&gt;180)), Z22, -Z22), 360)</f>
        <v>#DIV/0!</v>
      </c>
      <c r="AC22" s="52" t="s">
        <v>191</v>
      </c>
      <c r="AD22">
        <v>41</v>
      </c>
      <c r="AE22">
        <v>20</v>
      </c>
      <c r="AF22">
        <v>0</v>
      </c>
      <c r="AG2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41.333333333333336</v>
      </c>
      <c r="AH22">
        <v>2</v>
      </c>
      <c r="AI22">
        <v>10</v>
      </c>
      <c r="AJ22">
        <v>0</v>
      </c>
      <c r="AK2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2.1666666666666665</v>
      </c>
      <c r="AL22" s="52" t="s">
        <v>191</v>
      </c>
    </row>
    <row r="23" spans="5:38" x14ac:dyDescent="0.3">
      <c r="E23" s="52" t="s">
        <v>289</v>
      </c>
      <c r="F23" s="56">
        <f>IF(F22="GC",J19,IF(F22="RL",F19,IF(F22="Para.Limit",M22,0)))</f>
        <v>6131.8240075925596</v>
      </c>
      <c r="L23" s="52" t="s">
        <v>294</v>
      </c>
      <c r="M23" s="56">
        <f>IFERROR(M22/(F17*24),0)</f>
        <v>0</v>
      </c>
      <c r="U23" s="29" t="s">
        <v>295</v>
      </c>
      <c r="V23" s="32">
        <f>ACOS(IF(V22&lt;0,(-1)*V22,V22))*180/PI()</f>
        <v>76.826168566939458</v>
      </c>
      <c r="W23" s="30" t="s">
        <v>307</v>
      </c>
      <c r="X23" s="32">
        <f>X22-180</f>
        <v>-85.119602722620812</v>
      </c>
      <c r="Y23" s="29" t="s">
        <v>304</v>
      </c>
      <c r="Z23" s="32" t="e">
        <f>ACOS(TAN(RADIANS(M14))/TAN(RADIANS(Q21)))*180/PI()</f>
        <v>#DIV/0!</v>
      </c>
      <c r="AA23" s="32" t="e">
        <f>MOD(Z11 + IF(OR(AND(Z12&gt;Z11, (Z12-Z11)&lt;=180), AND(Z11&gt;Z12, (Z11-Z12)&gt;180)), Z23, -Z23), 360)</f>
        <v>#DIV/0!</v>
      </c>
      <c r="AC23" s="52" t="s">
        <v>254</v>
      </c>
      <c r="AD23">
        <v>43</v>
      </c>
      <c r="AE23">
        <v>21</v>
      </c>
      <c r="AF23">
        <v>0</v>
      </c>
      <c r="AG2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43.35</v>
      </c>
      <c r="AH23">
        <v>-3</v>
      </c>
      <c r="AI23">
        <v>2</v>
      </c>
      <c r="AJ23">
        <v>0</v>
      </c>
      <c r="AK2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-3.0333333333333332</v>
      </c>
      <c r="AL23" s="52" t="s">
        <v>254</v>
      </c>
    </row>
    <row r="24" spans="5:38" x14ac:dyDescent="0.3">
      <c r="E24" s="52" t="s">
        <v>288</v>
      </c>
      <c r="F24" s="56">
        <f>IF(F22="GC",J20,IF(F22="RL",F20,IF(F22="Para.Limit",M23,0)))</f>
        <v>17.032844465534886</v>
      </c>
      <c r="W24" s="30" t="s">
        <v>273</v>
      </c>
      <c r="X24" s="32">
        <f>X23+180</f>
        <v>94.880397277379188</v>
      </c>
      <c r="Y24" s="29" t="s">
        <v>305</v>
      </c>
      <c r="Z24" s="32" t="e">
        <f>IF(ABS(AA23-AA22)&gt;180,360-ABS(AA23-AA22),ABS(AA23-AA22))</f>
        <v>#DIV/0!</v>
      </c>
      <c r="AC24" s="52" t="s">
        <v>174</v>
      </c>
      <c r="AD24">
        <v>53</v>
      </c>
      <c r="AE24">
        <v>32</v>
      </c>
      <c r="AF24">
        <v>0</v>
      </c>
      <c r="AG2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53.533333333333331</v>
      </c>
      <c r="AH24">
        <v>8</v>
      </c>
      <c r="AI24">
        <v>34</v>
      </c>
      <c r="AJ24">
        <v>0</v>
      </c>
      <c r="AK2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8.5666666666666664</v>
      </c>
      <c r="AL24" s="52" t="s">
        <v>174</v>
      </c>
    </row>
    <row r="25" spans="5:38" x14ac:dyDescent="0.3">
      <c r="Y25" s="29" t="s">
        <v>306</v>
      </c>
      <c r="Z25" s="32" t="e">
        <f>Z24*COS(RADIANS(Q21))*60</f>
        <v>#DIV/0!</v>
      </c>
      <c r="AC25" s="52" t="s">
        <v>246</v>
      </c>
      <c r="AD25">
        <v>-27</v>
      </c>
      <c r="AE25">
        <v>22</v>
      </c>
      <c r="AF25">
        <v>0</v>
      </c>
      <c r="AG2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-27.366666666666667</v>
      </c>
      <c r="AH25">
        <v>153</v>
      </c>
      <c r="AI25">
        <v>10</v>
      </c>
      <c r="AJ25">
        <v>0</v>
      </c>
      <c r="AK2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153.16666666666666</v>
      </c>
      <c r="AL25" s="52" t="s">
        <v>246</v>
      </c>
    </row>
    <row r="26" spans="5:38" x14ac:dyDescent="0.3">
      <c r="AC26" s="52" t="s">
        <v>210</v>
      </c>
      <c r="AD26">
        <v>-34</v>
      </c>
      <c r="AE26">
        <v>36</v>
      </c>
      <c r="AF26">
        <v>0</v>
      </c>
      <c r="AG2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-34.6</v>
      </c>
      <c r="AH26">
        <v>-58</v>
      </c>
      <c r="AI26">
        <v>22</v>
      </c>
      <c r="AJ26">
        <v>0</v>
      </c>
      <c r="AK2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-58.366666666666667</v>
      </c>
      <c r="AL26" s="52" t="s">
        <v>210</v>
      </c>
    </row>
    <row r="27" spans="5:38" x14ac:dyDescent="0.3">
      <c r="S27"/>
      <c r="T27"/>
      <c r="U27"/>
      <c r="V27"/>
      <c r="W27"/>
      <c r="X27"/>
      <c r="Y27"/>
      <c r="Z27"/>
      <c r="AC27" s="52" t="s">
        <v>159</v>
      </c>
      <c r="AD27">
        <v>35</v>
      </c>
      <c r="AE27">
        <v>6</v>
      </c>
      <c r="AF27">
        <v>0</v>
      </c>
      <c r="AG2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35.1</v>
      </c>
      <c r="AH27">
        <v>129</v>
      </c>
      <c r="AI27">
        <v>2</v>
      </c>
      <c r="AJ27">
        <v>0</v>
      </c>
      <c r="AK2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129.03333333333333</v>
      </c>
      <c r="AL27" s="52" t="s">
        <v>159</v>
      </c>
    </row>
    <row r="28" spans="5:38" x14ac:dyDescent="0.3">
      <c r="AC28" s="52" t="s">
        <v>241</v>
      </c>
      <c r="AD28">
        <v>22</v>
      </c>
      <c r="AE28">
        <v>32</v>
      </c>
      <c r="AF28">
        <v>0</v>
      </c>
      <c r="AG2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22.533333333333335</v>
      </c>
      <c r="AH28">
        <v>88</v>
      </c>
      <c r="AI28">
        <v>18</v>
      </c>
      <c r="AJ28">
        <v>0</v>
      </c>
      <c r="AK2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88.3</v>
      </c>
      <c r="AL28" s="52" t="s">
        <v>241</v>
      </c>
    </row>
    <row r="29" spans="5:38" x14ac:dyDescent="0.3">
      <c r="AC29" s="52" t="s">
        <v>204</v>
      </c>
      <c r="AD29">
        <v>-12</v>
      </c>
      <c r="AE29">
        <v>3</v>
      </c>
      <c r="AF29">
        <v>0</v>
      </c>
      <c r="AG2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-12.05</v>
      </c>
      <c r="AH29">
        <v>-77</v>
      </c>
      <c r="AI29">
        <v>8</v>
      </c>
      <c r="AJ29">
        <v>0</v>
      </c>
      <c r="AK2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-77.13333333333334</v>
      </c>
      <c r="AL29" s="52" t="s">
        <v>204</v>
      </c>
    </row>
    <row r="30" spans="5:38" x14ac:dyDescent="0.3">
      <c r="AC30" s="52" t="s">
        <v>207</v>
      </c>
      <c r="AD30">
        <v>10</v>
      </c>
      <c r="AE30">
        <v>24</v>
      </c>
      <c r="AF30">
        <v>0</v>
      </c>
      <c r="AG30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10.4</v>
      </c>
      <c r="AH30">
        <v>-75</v>
      </c>
      <c r="AI30">
        <v>32</v>
      </c>
      <c r="AJ30">
        <v>0</v>
      </c>
      <c r="AK30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-75.533333333333331</v>
      </c>
      <c r="AL30" s="52" t="s">
        <v>207</v>
      </c>
    </row>
    <row r="31" spans="5:38" x14ac:dyDescent="0.3">
      <c r="AC31" s="52" t="s">
        <v>240</v>
      </c>
      <c r="AD31">
        <v>13</v>
      </c>
      <c r="AE31">
        <v>5</v>
      </c>
      <c r="AF31">
        <v>0</v>
      </c>
      <c r="AG31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13.083333333333334</v>
      </c>
      <c r="AH31">
        <v>80</v>
      </c>
      <c r="AI31">
        <v>17</v>
      </c>
      <c r="AJ31">
        <v>0</v>
      </c>
      <c r="AK31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80.283333333333331</v>
      </c>
      <c r="AL31" s="52" t="s">
        <v>240</v>
      </c>
    </row>
    <row r="32" spans="5:38" x14ac:dyDescent="0.3">
      <c r="AC32" s="52" t="s">
        <v>239</v>
      </c>
      <c r="AD32">
        <v>22</v>
      </c>
      <c r="AE32">
        <v>18</v>
      </c>
      <c r="AF32">
        <v>0</v>
      </c>
      <c r="AG3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22.3</v>
      </c>
      <c r="AH32">
        <v>91</v>
      </c>
      <c r="AI32">
        <v>48</v>
      </c>
      <c r="AJ32">
        <v>0</v>
      </c>
      <c r="AK3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91.8</v>
      </c>
      <c r="AL32" s="52" t="s">
        <v>239</v>
      </c>
    </row>
    <row r="33" spans="29:38" x14ac:dyDescent="0.3">
      <c r="AC33" s="52" t="s">
        <v>235</v>
      </c>
      <c r="AD33">
        <v>-33</v>
      </c>
      <c r="AE33">
        <v>54</v>
      </c>
      <c r="AF33">
        <v>0</v>
      </c>
      <c r="AG3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-33.9</v>
      </c>
      <c r="AH33">
        <v>18</v>
      </c>
      <c r="AI33">
        <v>26</v>
      </c>
      <c r="AJ33">
        <v>0</v>
      </c>
      <c r="AK3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18.433333333333334</v>
      </c>
      <c r="AL33" s="52" t="s">
        <v>235</v>
      </c>
    </row>
    <row r="34" spans="29:38" x14ac:dyDescent="0.3">
      <c r="AC34" s="52" t="s">
        <v>184</v>
      </c>
      <c r="AD34">
        <v>6</v>
      </c>
      <c r="AE34">
        <v>57</v>
      </c>
      <c r="AF34">
        <v>0</v>
      </c>
      <c r="AG3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6.95</v>
      </c>
      <c r="AH34">
        <v>79</v>
      </c>
      <c r="AI34">
        <v>51</v>
      </c>
      <c r="AJ34">
        <v>0</v>
      </c>
      <c r="AK3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79.849999999999994</v>
      </c>
      <c r="AL34" s="52" t="s">
        <v>184</v>
      </c>
    </row>
    <row r="35" spans="29:38" x14ac:dyDescent="0.3">
      <c r="AC35" s="52" t="s">
        <v>179</v>
      </c>
      <c r="AD35">
        <v>9</v>
      </c>
      <c r="AE35">
        <v>21</v>
      </c>
      <c r="AF35">
        <v>0</v>
      </c>
      <c r="AG3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9.35</v>
      </c>
      <c r="AH35">
        <v>-79</v>
      </c>
      <c r="AI35">
        <v>54</v>
      </c>
      <c r="AJ35">
        <v>0</v>
      </c>
      <c r="AK3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-79.900000000000006</v>
      </c>
      <c r="AL35" s="52" t="s">
        <v>179</v>
      </c>
    </row>
    <row r="36" spans="29:38" x14ac:dyDescent="0.3">
      <c r="AC36" s="52" t="s">
        <v>237</v>
      </c>
      <c r="AD36">
        <v>14</v>
      </c>
      <c r="AE36">
        <v>40</v>
      </c>
      <c r="AF36">
        <v>0</v>
      </c>
      <c r="AG3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14.666666666666666</v>
      </c>
      <c r="AH36">
        <v>-17</v>
      </c>
      <c r="AI36">
        <v>25</v>
      </c>
      <c r="AJ36">
        <v>0</v>
      </c>
      <c r="AK3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-17.416666666666668</v>
      </c>
      <c r="AL36" s="52" t="s">
        <v>237</v>
      </c>
    </row>
    <row r="37" spans="29:38" x14ac:dyDescent="0.3">
      <c r="AC37" s="52" t="s">
        <v>194</v>
      </c>
      <c r="AD37">
        <v>-29</v>
      </c>
      <c r="AE37">
        <v>52</v>
      </c>
      <c r="AF37">
        <v>0</v>
      </c>
      <c r="AG3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-29.866666666666667</v>
      </c>
      <c r="AH37">
        <v>31</v>
      </c>
      <c r="AI37">
        <v>2</v>
      </c>
      <c r="AJ37">
        <v>0</v>
      </c>
      <c r="AK3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31.033333333333335</v>
      </c>
      <c r="AL37" s="52" t="s">
        <v>194</v>
      </c>
    </row>
    <row r="38" spans="29:38" x14ac:dyDescent="0.3">
      <c r="AC38" s="52" t="s">
        <v>196</v>
      </c>
      <c r="AD38">
        <v>37</v>
      </c>
      <c r="AE38">
        <v>56</v>
      </c>
      <c r="AF38">
        <v>0</v>
      </c>
      <c r="AG3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37.93333333333333</v>
      </c>
      <c r="AH38">
        <v>23</v>
      </c>
      <c r="AI38">
        <v>38</v>
      </c>
      <c r="AJ38">
        <v>0</v>
      </c>
      <c r="AK3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23.633333333333333</v>
      </c>
      <c r="AL38" s="52" t="s">
        <v>196</v>
      </c>
    </row>
    <row r="39" spans="29:38" x14ac:dyDescent="0.3">
      <c r="AC39" s="52" t="s">
        <v>227</v>
      </c>
      <c r="AD39">
        <v>40</v>
      </c>
      <c r="AE39">
        <v>58</v>
      </c>
      <c r="AF39">
        <v>0</v>
      </c>
      <c r="AG3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40.966666666666669</v>
      </c>
      <c r="AH39">
        <v>28</v>
      </c>
      <c r="AI39">
        <v>41</v>
      </c>
      <c r="AJ39">
        <v>0</v>
      </c>
      <c r="AK3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28.683333333333334</v>
      </c>
      <c r="AL39" s="52" t="s">
        <v>227</v>
      </c>
    </row>
    <row r="40" spans="29:38" x14ac:dyDescent="0.3">
      <c r="AC40" s="52" t="s">
        <v>187</v>
      </c>
      <c r="AD40">
        <v>51</v>
      </c>
      <c r="AE40">
        <v>57</v>
      </c>
      <c r="AF40">
        <v>0</v>
      </c>
      <c r="AG40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51.95</v>
      </c>
      <c r="AH40">
        <v>1</v>
      </c>
      <c r="AI40">
        <v>19</v>
      </c>
      <c r="AJ40">
        <v>0</v>
      </c>
      <c r="AK40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1.3166666666666667</v>
      </c>
      <c r="AL40" s="52" t="s">
        <v>187</v>
      </c>
    </row>
    <row r="41" spans="29:38" x14ac:dyDescent="0.3">
      <c r="AC41" s="52" t="s">
        <v>247</v>
      </c>
      <c r="AD41">
        <v>-32</v>
      </c>
      <c r="AE41">
        <v>3</v>
      </c>
      <c r="AF41">
        <v>0</v>
      </c>
      <c r="AG41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-32.049999999999997</v>
      </c>
      <c r="AH41">
        <v>115</v>
      </c>
      <c r="AI41">
        <v>44</v>
      </c>
      <c r="AJ41">
        <v>0</v>
      </c>
      <c r="AK41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115.73333333333333</v>
      </c>
      <c r="AL41" s="52" t="s">
        <v>247</v>
      </c>
    </row>
    <row r="42" spans="29:38" x14ac:dyDescent="0.3">
      <c r="AC42" s="52" t="s">
        <v>224</v>
      </c>
      <c r="AD42">
        <v>54</v>
      </c>
      <c r="AE42">
        <v>23</v>
      </c>
      <c r="AF42">
        <v>0</v>
      </c>
      <c r="AG4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54.383333333333333</v>
      </c>
      <c r="AH42">
        <v>18</v>
      </c>
      <c r="AI42">
        <v>40</v>
      </c>
      <c r="AJ42">
        <v>0</v>
      </c>
      <c r="AK4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18.666666666666668</v>
      </c>
      <c r="AL42" s="52" t="s">
        <v>224</v>
      </c>
    </row>
    <row r="43" spans="29:38" x14ac:dyDescent="0.3">
      <c r="AC43" s="52" t="s">
        <v>219</v>
      </c>
      <c r="AD43">
        <v>44</v>
      </c>
      <c r="AE43">
        <v>24</v>
      </c>
      <c r="AF43">
        <v>0</v>
      </c>
      <c r="AG4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44.4</v>
      </c>
      <c r="AH43">
        <v>8</v>
      </c>
      <c r="AI43">
        <v>55</v>
      </c>
      <c r="AJ43">
        <v>0</v>
      </c>
      <c r="AK4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8.9166666666666661</v>
      </c>
      <c r="AL43" s="52" t="s">
        <v>219</v>
      </c>
    </row>
    <row r="44" spans="29:38" x14ac:dyDescent="0.3">
      <c r="AC44" s="52" t="s">
        <v>197</v>
      </c>
      <c r="AD44">
        <v>38</v>
      </c>
      <c r="AE44">
        <v>25</v>
      </c>
      <c r="AF44">
        <v>0</v>
      </c>
      <c r="AG4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38.416666666666664</v>
      </c>
      <c r="AH44">
        <v>15</v>
      </c>
      <c r="AI44">
        <v>54</v>
      </c>
      <c r="AJ44">
        <v>0</v>
      </c>
      <c r="AK4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15.9</v>
      </c>
      <c r="AL44" s="52" t="s">
        <v>197</v>
      </c>
    </row>
    <row r="45" spans="29:38" x14ac:dyDescent="0.3">
      <c r="AC45" s="52" t="s">
        <v>260</v>
      </c>
      <c r="AD45">
        <v>57</v>
      </c>
      <c r="AE45">
        <v>42</v>
      </c>
      <c r="AF45">
        <v>0</v>
      </c>
      <c r="AG4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57.7</v>
      </c>
      <c r="AH45">
        <v>11</v>
      </c>
      <c r="AI45">
        <v>56</v>
      </c>
      <c r="AJ45">
        <v>0</v>
      </c>
      <c r="AK4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11.933333333333334</v>
      </c>
      <c r="AL45" s="52" t="s">
        <v>260</v>
      </c>
    </row>
    <row r="46" spans="29:38" x14ac:dyDescent="0.3">
      <c r="AC46" s="52" t="s">
        <v>158</v>
      </c>
      <c r="AD46">
        <v>23</v>
      </c>
      <c r="AE46">
        <v>5</v>
      </c>
      <c r="AF46">
        <v>0</v>
      </c>
      <c r="AG4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23.083333333333332</v>
      </c>
      <c r="AH46">
        <v>113</v>
      </c>
      <c r="AI46">
        <v>26</v>
      </c>
      <c r="AJ46">
        <v>0</v>
      </c>
      <c r="AK4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113.43333333333334</v>
      </c>
      <c r="AL46" s="52" t="s">
        <v>158</v>
      </c>
    </row>
    <row r="47" spans="29:38" x14ac:dyDescent="0.3">
      <c r="AC47" s="52" t="s">
        <v>205</v>
      </c>
      <c r="AD47">
        <v>-2</v>
      </c>
      <c r="AE47">
        <v>16</v>
      </c>
      <c r="AF47">
        <v>0</v>
      </c>
      <c r="AG4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-2.2666666666666666</v>
      </c>
      <c r="AH47">
        <v>-79</v>
      </c>
      <c r="AI47">
        <v>54</v>
      </c>
      <c r="AJ47">
        <v>0</v>
      </c>
      <c r="AK4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-79.900000000000006</v>
      </c>
      <c r="AL47" s="52" t="s">
        <v>205</v>
      </c>
    </row>
    <row r="48" spans="29:38" x14ac:dyDescent="0.3">
      <c r="AC48" s="52" t="s">
        <v>229</v>
      </c>
      <c r="AD48">
        <v>32</v>
      </c>
      <c r="AE48">
        <v>49</v>
      </c>
      <c r="AF48">
        <v>0</v>
      </c>
      <c r="AG4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32.81666666666667</v>
      </c>
      <c r="AH48">
        <v>35</v>
      </c>
      <c r="AI48">
        <v>0</v>
      </c>
      <c r="AJ48">
        <v>0</v>
      </c>
      <c r="AK4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35</v>
      </c>
      <c r="AL48" s="52" t="s">
        <v>229</v>
      </c>
    </row>
    <row r="49" spans="29:38" x14ac:dyDescent="0.3">
      <c r="AC49" s="52" t="s">
        <v>253</v>
      </c>
      <c r="AD49">
        <v>44</v>
      </c>
      <c r="AE49">
        <v>38</v>
      </c>
      <c r="AF49">
        <v>0</v>
      </c>
      <c r="AG4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44.633333333333333</v>
      </c>
      <c r="AH49">
        <v>-63</v>
      </c>
      <c r="AI49">
        <v>34</v>
      </c>
      <c r="AJ49">
        <v>0</v>
      </c>
      <c r="AK4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-63.56666666666667</v>
      </c>
      <c r="AL49" s="52" t="s">
        <v>253</v>
      </c>
    </row>
    <row r="50" spans="29:38" x14ac:dyDescent="0.3">
      <c r="AC50" s="52" t="s">
        <v>164</v>
      </c>
      <c r="AD50">
        <v>53</v>
      </c>
      <c r="AE50">
        <v>32</v>
      </c>
      <c r="AF50">
        <v>0</v>
      </c>
      <c r="AG50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53.533333333333331</v>
      </c>
      <c r="AH50">
        <v>9</v>
      </c>
      <c r="AI50">
        <v>58</v>
      </c>
      <c r="AJ50">
        <v>0</v>
      </c>
      <c r="AK50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9.9666666666666668</v>
      </c>
      <c r="AL50" s="52" t="s">
        <v>164</v>
      </c>
    </row>
    <row r="51" spans="29:38" x14ac:dyDescent="0.3">
      <c r="AC51" s="52" t="s">
        <v>175</v>
      </c>
      <c r="AD51">
        <v>10</v>
      </c>
      <c r="AE51">
        <v>46</v>
      </c>
      <c r="AF51">
        <v>0</v>
      </c>
      <c r="AG51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10.766666666666667</v>
      </c>
      <c r="AH51">
        <v>106</v>
      </c>
      <c r="AI51">
        <v>42</v>
      </c>
      <c r="AJ51">
        <v>0</v>
      </c>
      <c r="AK51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106.7</v>
      </c>
      <c r="AL51" s="52" t="s">
        <v>175</v>
      </c>
    </row>
    <row r="52" spans="29:38" x14ac:dyDescent="0.3">
      <c r="AC52" s="52" t="s">
        <v>161</v>
      </c>
      <c r="AD52">
        <v>22</v>
      </c>
      <c r="AE52">
        <v>20</v>
      </c>
      <c r="AF52">
        <v>0</v>
      </c>
      <c r="AG5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22.333333333333332</v>
      </c>
      <c r="AH52">
        <v>114</v>
      </c>
      <c r="AI52">
        <v>7</v>
      </c>
      <c r="AJ52">
        <v>0</v>
      </c>
      <c r="AK5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114.11666666666666</v>
      </c>
      <c r="AL52" s="52" t="s">
        <v>161</v>
      </c>
    </row>
    <row r="53" spans="29:38" x14ac:dyDescent="0.3">
      <c r="AC53" s="52" t="s">
        <v>250</v>
      </c>
      <c r="AD53">
        <v>21</v>
      </c>
      <c r="AE53">
        <v>18</v>
      </c>
      <c r="AF53">
        <v>0</v>
      </c>
      <c r="AG5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21.3</v>
      </c>
      <c r="AH53">
        <v>-157</v>
      </c>
      <c r="AI53">
        <v>52</v>
      </c>
      <c r="AJ53">
        <v>0</v>
      </c>
      <c r="AK5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-157.86666666666667</v>
      </c>
      <c r="AL53" s="52" t="s">
        <v>250</v>
      </c>
    </row>
    <row r="54" spans="29:38" x14ac:dyDescent="0.3">
      <c r="AC54" s="52" t="s">
        <v>214</v>
      </c>
      <c r="AD54">
        <v>29</v>
      </c>
      <c r="AE54">
        <v>43</v>
      </c>
      <c r="AF54">
        <v>0</v>
      </c>
      <c r="AG5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29.716666666666665</v>
      </c>
      <c r="AH54">
        <v>-95</v>
      </c>
      <c r="AI54">
        <v>1</v>
      </c>
      <c r="AJ54">
        <v>0</v>
      </c>
      <c r="AK5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-95.016666666666666</v>
      </c>
      <c r="AL54" s="52" t="s">
        <v>214</v>
      </c>
    </row>
    <row r="55" spans="29:38" x14ac:dyDescent="0.3">
      <c r="AC55" s="52" t="s">
        <v>201</v>
      </c>
      <c r="AD55">
        <v>37</v>
      </c>
      <c r="AE55">
        <v>28</v>
      </c>
      <c r="AF55">
        <v>0</v>
      </c>
      <c r="AG5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37.466666666666669</v>
      </c>
      <c r="AH55">
        <v>126</v>
      </c>
      <c r="AI55">
        <v>37</v>
      </c>
      <c r="AJ55">
        <v>0</v>
      </c>
      <c r="AK5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126.61666666666666</v>
      </c>
      <c r="AL55" s="52" t="s">
        <v>201</v>
      </c>
    </row>
    <row r="56" spans="29:38" x14ac:dyDescent="0.3">
      <c r="AC56" s="52" t="s">
        <v>244</v>
      </c>
      <c r="AD56">
        <v>-6</v>
      </c>
      <c r="AE56">
        <v>7</v>
      </c>
      <c r="AF56">
        <v>0</v>
      </c>
      <c r="AG5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-6.1166666666666663</v>
      </c>
      <c r="AH56">
        <v>106</v>
      </c>
      <c r="AI56">
        <v>52</v>
      </c>
      <c r="AJ56">
        <v>0</v>
      </c>
      <c r="AK5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106.86666666666666</v>
      </c>
      <c r="AL56" s="52" t="s">
        <v>244</v>
      </c>
    </row>
    <row r="57" spans="29:38" x14ac:dyDescent="0.3">
      <c r="AC57" s="52" t="s">
        <v>163</v>
      </c>
      <c r="AD57">
        <v>24</v>
      </c>
      <c r="AE57">
        <v>59</v>
      </c>
      <c r="AF57">
        <v>0</v>
      </c>
      <c r="AG5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24.983333333333334</v>
      </c>
      <c r="AH57">
        <v>55</v>
      </c>
      <c r="AI57">
        <v>3</v>
      </c>
      <c r="AJ57">
        <v>0</v>
      </c>
      <c r="AK5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55.05</v>
      </c>
      <c r="AL57" s="52" t="s">
        <v>163</v>
      </c>
    </row>
    <row r="58" spans="29:38" x14ac:dyDescent="0.3">
      <c r="AC58" s="52" t="s">
        <v>183</v>
      </c>
      <c r="AD58">
        <v>21</v>
      </c>
      <c r="AE58">
        <v>28</v>
      </c>
      <c r="AF58">
        <v>0</v>
      </c>
      <c r="AG5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21.466666666666665</v>
      </c>
      <c r="AH58">
        <v>39</v>
      </c>
      <c r="AI58">
        <v>10</v>
      </c>
      <c r="AJ58">
        <v>0</v>
      </c>
      <c r="AK5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39.166666666666664</v>
      </c>
      <c r="AL58" s="52" t="s">
        <v>183</v>
      </c>
    </row>
    <row r="59" spans="29:38" x14ac:dyDescent="0.3">
      <c r="AC59" s="52" t="s">
        <v>169</v>
      </c>
      <c r="AD59">
        <v>22</v>
      </c>
      <c r="AE59">
        <v>37</v>
      </c>
      <c r="AF59">
        <v>0</v>
      </c>
      <c r="AG5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22.616666666666667</v>
      </c>
      <c r="AH59">
        <v>120</v>
      </c>
      <c r="AI59">
        <v>18</v>
      </c>
      <c r="AJ59">
        <v>0</v>
      </c>
      <c r="AK5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120.3</v>
      </c>
      <c r="AL59" s="52" t="s">
        <v>169</v>
      </c>
    </row>
    <row r="60" spans="29:38" x14ac:dyDescent="0.3">
      <c r="AC60" s="52" t="s">
        <v>238</v>
      </c>
      <c r="AD60">
        <v>24</v>
      </c>
      <c r="AE60">
        <v>50</v>
      </c>
      <c r="AF60">
        <v>0</v>
      </c>
      <c r="AG60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24.833333333333332</v>
      </c>
      <c r="AH60">
        <v>66</v>
      </c>
      <c r="AI60">
        <v>59</v>
      </c>
      <c r="AJ60">
        <v>0</v>
      </c>
      <c r="AK60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66.983333333333334</v>
      </c>
      <c r="AL60" s="52" t="s">
        <v>238</v>
      </c>
    </row>
    <row r="61" spans="29:38" x14ac:dyDescent="0.3">
      <c r="AC61" s="52" t="s">
        <v>198</v>
      </c>
      <c r="AD61">
        <v>34</v>
      </c>
      <c r="AE61">
        <v>40</v>
      </c>
      <c r="AF61">
        <v>0</v>
      </c>
      <c r="AG61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34.666666666666664</v>
      </c>
      <c r="AH61">
        <v>135</v>
      </c>
      <c r="AI61">
        <v>13</v>
      </c>
      <c r="AJ61">
        <v>0</v>
      </c>
      <c r="AK61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135.21666666666667</v>
      </c>
      <c r="AL61" s="52" t="s">
        <v>198</v>
      </c>
    </row>
    <row r="62" spans="29:38" x14ac:dyDescent="0.3">
      <c r="AC62" s="52" t="s">
        <v>220</v>
      </c>
      <c r="AD62">
        <v>44</v>
      </c>
      <c r="AE62">
        <v>6</v>
      </c>
      <c r="AF62">
        <v>0</v>
      </c>
      <c r="AG6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44.1</v>
      </c>
      <c r="AH62">
        <v>9</v>
      </c>
      <c r="AI62">
        <v>50</v>
      </c>
      <c r="AJ62">
        <v>0</v>
      </c>
      <c r="AK6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9.8333333333333339</v>
      </c>
      <c r="AL62" s="52" t="s">
        <v>220</v>
      </c>
    </row>
    <row r="63" spans="29:38" x14ac:dyDescent="0.3">
      <c r="AC63" s="52" t="s">
        <v>173</v>
      </c>
      <c r="AD63">
        <v>13</v>
      </c>
      <c r="AE63">
        <v>4</v>
      </c>
      <c r="AF63">
        <v>0</v>
      </c>
      <c r="AG6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13.066666666666666</v>
      </c>
      <c r="AH63">
        <v>100</v>
      </c>
      <c r="AI63">
        <v>53</v>
      </c>
      <c r="AJ63">
        <v>0</v>
      </c>
      <c r="AK6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100.88333333333334</v>
      </c>
      <c r="AL63" s="52" t="s">
        <v>173</v>
      </c>
    </row>
    <row r="64" spans="29:38" x14ac:dyDescent="0.3">
      <c r="AC64" s="52" t="s">
        <v>233</v>
      </c>
      <c r="AD64">
        <v>6</v>
      </c>
      <c r="AE64">
        <v>26</v>
      </c>
      <c r="AF64">
        <v>0</v>
      </c>
      <c r="AG6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6.4333333333333336</v>
      </c>
      <c r="AH64">
        <v>3</v>
      </c>
      <c r="AI64">
        <v>21</v>
      </c>
      <c r="AJ64">
        <v>0</v>
      </c>
      <c r="AK6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3.35</v>
      </c>
      <c r="AL64" s="52" t="s">
        <v>233</v>
      </c>
    </row>
    <row r="65" spans="29:38" x14ac:dyDescent="0.3">
      <c r="AC65" s="52" t="s">
        <v>255</v>
      </c>
      <c r="AD65">
        <v>28</v>
      </c>
      <c r="AE65">
        <v>8</v>
      </c>
      <c r="AF65">
        <v>0</v>
      </c>
      <c r="AG6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28.133333333333333</v>
      </c>
      <c r="AH65">
        <v>-15</v>
      </c>
      <c r="AI65">
        <v>25</v>
      </c>
      <c r="AJ65">
        <v>0</v>
      </c>
      <c r="AK6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-15.416666666666666</v>
      </c>
      <c r="AL65" s="52" t="s">
        <v>255</v>
      </c>
    </row>
    <row r="66" spans="29:38" x14ac:dyDescent="0.3">
      <c r="AC66" s="52" t="s">
        <v>218</v>
      </c>
      <c r="AD66">
        <v>49</v>
      </c>
      <c r="AE66">
        <v>29</v>
      </c>
      <c r="AF66">
        <v>0</v>
      </c>
      <c r="AG6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49.483333333333334</v>
      </c>
      <c r="AH66">
        <v>0</v>
      </c>
      <c r="AI66">
        <v>6</v>
      </c>
      <c r="AJ66">
        <v>0</v>
      </c>
      <c r="AK6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0.1</v>
      </c>
      <c r="AL66" s="52" t="s">
        <v>218</v>
      </c>
    </row>
    <row r="67" spans="29:38" x14ac:dyDescent="0.3">
      <c r="AC67" s="52" t="s">
        <v>176</v>
      </c>
      <c r="AD67">
        <v>34</v>
      </c>
      <c r="AE67">
        <v>44</v>
      </c>
      <c r="AF67">
        <v>0</v>
      </c>
      <c r="AG6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34.733333333333334</v>
      </c>
      <c r="AH67">
        <v>119</v>
      </c>
      <c r="AI67">
        <v>26</v>
      </c>
      <c r="AJ67">
        <v>0</v>
      </c>
      <c r="AK6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119.43333333333334</v>
      </c>
      <c r="AL67" s="52" t="s">
        <v>176</v>
      </c>
    </row>
    <row r="68" spans="29:38" x14ac:dyDescent="0.3">
      <c r="AC68" s="52" t="s">
        <v>259</v>
      </c>
      <c r="AD68">
        <v>38</v>
      </c>
      <c r="AE68">
        <v>42</v>
      </c>
      <c r="AF68">
        <v>0</v>
      </c>
      <c r="AG6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38.700000000000003</v>
      </c>
      <c r="AH68">
        <v>-9</v>
      </c>
      <c r="AI68">
        <v>9</v>
      </c>
      <c r="AJ68">
        <v>0</v>
      </c>
      <c r="AK6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-9.15</v>
      </c>
      <c r="AL68" s="52" t="s">
        <v>259</v>
      </c>
    </row>
    <row r="69" spans="29:38" x14ac:dyDescent="0.3">
      <c r="AC69" s="52" t="s">
        <v>223</v>
      </c>
      <c r="AD69">
        <v>51</v>
      </c>
      <c r="AE69">
        <v>30</v>
      </c>
      <c r="AF69">
        <v>0</v>
      </c>
      <c r="AG6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51.5</v>
      </c>
      <c r="AH69">
        <v>0</v>
      </c>
      <c r="AI69">
        <v>28</v>
      </c>
      <c r="AJ69">
        <v>0</v>
      </c>
      <c r="AK6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0.46666666666666667</v>
      </c>
      <c r="AL69" s="52" t="s">
        <v>223</v>
      </c>
    </row>
    <row r="70" spans="29:38" x14ac:dyDescent="0.3">
      <c r="AC70" s="52" t="s">
        <v>170</v>
      </c>
      <c r="AD70">
        <v>33</v>
      </c>
      <c r="AE70">
        <v>45</v>
      </c>
      <c r="AF70">
        <v>0</v>
      </c>
      <c r="AG70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33.75</v>
      </c>
      <c r="AH70">
        <v>-118</v>
      </c>
      <c r="AI70">
        <v>13</v>
      </c>
      <c r="AJ70">
        <v>0</v>
      </c>
      <c r="AK70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-118.21666666666667</v>
      </c>
      <c r="AL70" s="52" t="s">
        <v>170</v>
      </c>
    </row>
    <row r="71" spans="29:38" x14ac:dyDescent="0.3">
      <c r="AC71" s="52" t="s">
        <v>162</v>
      </c>
      <c r="AD71">
        <v>33</v>
      </c>
      <c r="AE71">
        <v>43</v>
      </c>
      <c r="AF71">
        <v>0</v>
      </c>
      <c r="AG71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33.716666666666669</v>
      </c>
      <c r="AH71">
        <v>-118</v>
      </c>
      <c r="AI71">
        <v>16</v>
      </c>
      <c r="AJ71">
        <v>0</v>
      </c>
      <c r="AK71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-118.26666666666667</v>
      </c>
      <c r="AL71" s="52" t="s">
        <v>162</v>
      </c>
    </row>
    <row r="72" spans="29:38" x14ac:dyDescent="0.3">
      <c r="AC72" s="52" t="s">
        <v>186</v>
      </c>
      <c r="AD72">
        <v>14</v>
      </c>
      <c r="AE72">
        <v>35</v>
      </c>
      <c r="AF72">
        <v>0</v>
      </c>
      <c r="AG7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14.583333333333334</v>
      </c>
      <c r="AH72">
        <v>120</v>
      </c>
      <c r="AI72">
        <v>58</v>
      </c>
      <c r="AJ72">
        <v>0</v>
      </c>
      <c r="AK7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120.96666666666667</v>
      </c>
      <c r="AL72" s="52" t="s">
        <v>186</v>
      </c>
    </row>
    <row r="73" spans="29:38" x14ac:dyDescent="0.3">
      <c r="AC73" s="52" t="s">
        <v>213</v>
      </c>
      <c r="AD73">
        <v>19</v>
      </c>
      <c r="AE73">
        <v>3</v>
      </c>
      <c r="AF73">
        <v>0</v>
      </c>
      <c r="AG7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19.05</v>
      </c>
      <c r="AH73">
        <v>-104</v>
      </c>
      <c r="AI73">
        <v>19</v>
      </c>
      <c r="AJ73">
        <v>0</v>
      </c>
      <c r="AK7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-104.31666666666666</v>
      </c>
      <c r="AL73" s="52" t="s">
        <v>213</v>
      </c>
    </row>
    <row r="74" spans="29:38" x14ac:dyDescent="0.3">
      <c r="AC74" s="52" t="s">
        <v>217</v>
      </c>
      <c r="AD74">
        <v>43</v>
      </c>
      <c r="AE74">
        <v>18</v>
      </c>
      <c r="AF74">
        <v>0</v>
      </c>
      <c r="AG7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43.3</v>
      </c>
      <c r="AH74">
        <v>5</v>
      </c>
      <c r="AI74">
        <v>22</v>
      </c>
      <c r="AJ74">
        <v>0</v>
      </c>
      <c r="AK7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5.3666666666666663</v>
      </c>
      <c r="AL74" s="52" t="s">
        <v>217</v>
      </c>
    </row>
    <row r="75" spans="29:38" x14ac:dyDescent="0.3">
      <c r="AC75" s="52" t="s">
        <v>202</v>
      </c>
      <c r="AD75">
        <v>-37</v>
      </c>
      <c r="AE75">
        <v>50</v>
      </c>
      <c r="AF75">
        <v>0</v>
      </c>
      <c r="AG7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-37.833333333333336</v>
      </c>
      <c r="AH75">
        <v>144</v>
      </c>
      <c r="AI75">
        <v>55</v>
      </c>
      <c r="AJ75">
        <v>0</v>
      </c>
      <c r="AK7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144.91666666666666</v>
      </c>
      <c r="AL75" s="52" t="s">
        <v>202</v>
      </c>
    </row>
    <row r="76" spans="29:38" x14ac:dyDescent="0.3">
      <c r="AC76" s="52" t="s">
        <v>228</v>
      </c>
      <c r="AD76">
        <v>36</v>
      </c>
      <c r="AE76">
        <v>48</v>
      </c>
      <c r="AF76">
        <v>0</v>
      </c>
      <c r="AG7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36.799999999999997</v>
      </c>
      <c r="AH76">
        <v>34</v>
      </c>
      <c r="AI76">
        <v>38</v>
      </c>
      <c r="AJ76">
        <v>0</v>
      </c>
      <c r="AK7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34.633333333333333</v>
      </c>
      <c r="AL76" s="52" t="s">
        <v>228</v>
      </c>
    </row>
    <row r="77" spans="29:38" x14ac:dyDescent="0.3">
      <c r="AC77" s="52" t="s">
        <v>216</v>
      </c>
      <c r="AD77">
        <v>25</v>
      </c>
      <c r="AE77">
        <v>46</v>
      </c>
      <c r="AF77">
        <v>0</v>
      </c>
      <c r="AG7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25.766666666666666</v>
      </c>
      <c r="AH77">
        <v>-80</v>
      </c>
      <c r="AI77">
        <v>10</v>
      </c>
      <c r="AJ77">
        <v>0</v>
      </c>
      <c r="AK7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-80.166666666666671</v>
      </c>
      <c r="AL77" s="52" t="s">
        <v>216</v>
      </c>
    </row>
    <row r="78" spans="29:38" x14ac:dyDescent="0.3">
      <c r="AC78" s="52" t="s">
        <v>234</v>
      </c>
      <c r="AD78">
        <v>-4</v>
      </c>
      <c r="AE78">
        <v>3</v>
      </c>
      <c r="AF78">
        <v>0</v>
      </c>
      <c r="AG7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-4.05</v>
      </c>
      <c r="AH78">
        <v>39</v>
      </c>
      <c r="AI78">
        <v>39</v>
      </c>
      <c r="AJ78">
        <v>0</v>
      </c>
      <c r="AK7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39.65</v>
      </c>
      <c r="AL78" s="52" t="s">
        <v>234</v>
      </c>
    </row>
    <row r="79" spans="29:38" x14ac:dyDescent="0.3">
      <c r="AC79" s="52" t="s">
        <v>211</v>
      </c>
      <c r="AD79">
        <v>-34</v>
      </c>
      <c r="AE79">
        <v>54</v>
      </c>
      <c r="AF79">
        <v>0</v>
      </c>
      <c r="AG7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-34.9</v>
      </c>
      <c r="AH79">
        <v>-56</v>
      </c>
      <c r="AI79">
        <v>12</v>
      </c>
      <c r="AJ79">
        <v>0</v>
      </c>
      <c r="AK7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-56.2</v>
      </c>
      <c r="AL79" s="52" t="s">
        <v>211</v>
      </c>
    </row>
    <row r="80" spans="29:38" x14ac:dyDescent="0.3">
      <c r="AC80" s="52" t="s">
        <v>252</v>
      </c>
      <c r="AD80">
        <v>45</v>
      </c>
      <c r="AE80">
        <v>30</v>
      </c>
      <c r="AF80">
        <v>0</v>
      </c>
      <c r="AG80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45.5</v>
      </c>
      <c r="AH80">
        <v>-73</v>
      </c>
      <c r="AI80">
        <v>33</v>
      </c>
      <c r="AJ80">
        <v>0</v>
      </c>
      <c r="AK80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-73.55</v>
      </c>
      <c r="AL80" s="52" t="s">
        <v>252</v>
      </c>
    </row>
    <row r="81" spans="29:38" x14ac:dyDescent="0.3">
      <c r="AC81" s="52" t="s">
        <v>178</v>
      </c>
      <c r="AD81">
        <v>22</v>
      </c>
      <c r="AE81">
        <v>44</v>
      </c>
      <c r="AF81">
        <v>0</v>
      </c>
      <c r="AG81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22.733333333333334</v>
      </c>
      <c r="AH81">
        <v>69</v>
      </c>
      <c r="AI81">
        <v>42</v>
      </c>
      <c r="AJ81">
        <v>0</v>
      </c>
      <c r="AK81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69.7</v>
      </c>
      <c r="AL81" s="52" t="s">
        <v>178</v>
      </c>
    </row>
    <row r="82" spans="29:38" x14ac:dyDescent="0.3">
      <c r="AC82" s="52" t="s">
        <v>200</v>
      </c>
      <c r="AD82">
        <v>35</v>
      </c>
      <c r="AE82">
        <v>3</v>
      </c>
      <c r="AF82">
        <v>0</v>
      </c>
      <c r="AG8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35.049999999999997</v>
      </c>
      <c r="AH82">
        <v>136</v>
      </c>
      <c r="AI82">
        <v>51</v>
      </c>
      <c r="AJ82">
        <v>0</v>
      </c>
      <c r="AK8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136.85</v>
      </c>
      <c r="AL82" s="52" t="s">
        <v>200</v>
      </c>
    </row>
    <row r="83" spans="29:38" x14ac:dyDescent="0.3">
      <c r="AC83" s="52" t="s">
        <v>182</v>
      </c>
      <c r="AD83">
        <v>18</v>
      </c>
      <c r="AE83">
        <v>57</v>
      </c>
      <c r="AF83">
        <v>0</v>
      </c>
      <c r="AG8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18.95</v>
      </c>
      <c r="AH83">
        <v>72</v>
      </c>
      <c r="AI83">
        <v>57</v>
      </c>
      <c r="AJ83">
        <v>0</v>
      </c>
      <c r="AK8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72.95</v>
      </c>
      <c r="AL83" s="52" t="s">
        <v>182</v>
      </c>
    </row>
    <row r="84" spans="29:38" x14ac:dyDescent="0.3">
      <c r="AC84" s="52" t="s">
        <v>226</v>
      </c>
      <c r="AD84">
        <v>44</v>
      </c>
      <c r="AE84">
        <v>43</v>
      </c>
      <c r="AF84">
        <v>0</v>
      </c>
      <c r="AG8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44.716666666666669</v>
      </c>
      <c r="AH84">
        <v>37</v>
      </c>
      <c r="AI84">
        <v>47</v>
      </c>
      <c r="AJ84">
        <v>0</v>
      </c>
      <c r="AK8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37.783333333333331</v>
      </c>
      <c r="AL84" s="52" t="s">
        <v>226</v>
      </c>
    </row>
    <row r="85" spans="29:38" x14ac:dyDescent="0.3">
      <c r="AC85" s="52" t="s">
        <v>172</v>
      </c>
      <c r="AD85">
        <v>40</v>
      </c>
      <c r="AE85">
        <v>40</v>
      </c>
      <c r="AF85">
        <v>0</v>
      </c>
      <c r="AG8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40.666666666666664</v>
      </c>
      <c r="AH85">
        <v>-74</v>
      </c>
      <c r="AI85">
        <v>2</v>
      </c>
      <c r="AJ85">
        <v>0</v>
      </c>
      <c r="AK8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-74.033333333333331</v>
      </c>
      <c r="AL85" s="52" t="s">
        <v>172</v>
      </c>
    </row>
    <row r="86" spans="29:38" x14ac:dyDescent="0.3">
      <c r="AC86" s="52" t="s">
        <v>215</v>
      </c>
      <c r="AD86">
        <v>37</v>
      </c>
      <c r="AE86">
        <v>47</v>
      </c>
      <c r="AF86">
        <v>0</v>
      </c>
      <c r="AG8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37.783333333333331</v>
      </c>
      <c r="AH86">
        <v>-122</v>
      </c>
      <c r="AI86">
        <v>17</v>
      </c>
      <c r="AJ86">
        <v>0</v>
      </c>
      <c r="AK8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-122.28333333333333</v>
      </c>
      <c r="AL86" s="52" t="s">
        <v>215</v>
      </c>
    </row>
    <row r="87" spans="29:38" x14ac:dyDescent="0.3">
      <c r="AC87" s="52" t="s">
        <v>199</v>
      </c>
      <c r="AD87">
        <v>34</v>
      </c>
      <c r="AE87">
        <v>39</v>
      </c>
      <c r="AF87">
        <v>0</v>
      </c>
      <c r="AG8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34.65</v>
      </c>
      <c r="AH87">
        <v>135</v>
      </c>
      <c r="AI87">
        <v>25</v>
      </c>
      <c r="AJ87">
        <v>0</v>
      </c>
      <c r="AK8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135.41666666666666</v>
      </c>
      <c r="AL87" s="52" t="s">
        <v>199</v>
      </c>
    </row>
    <row r="88" spans="29:38" x14ac:dyDescent="0.3">
      <c r="AC88" s="52" t="s">
        <v>243</v>
      </c>
      <c r="AD88">
        <v>5</v>
      </c>
      <c r="AE88">
        <v>25</v>
      </c>
      <c r="AF88">
        <v>0</v>
      </c>
      <c r="AG8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5.416666666666667</v>
      </c>
      <c r="AH88">
        <v>100</v>
      </c>
      <c r="AI88">
        <v>21</v>
      </c>
      <c r="AJ88">
        <v>0</v>
      </c>
      <c r="AK8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100.35</v>
      </c>
      <c r="AL88" s="52" t="s">
        <v>243</v>
      </c>
    </row>
    <row r="89" spans="29:38" x14ac:dyDescent="0.3">
      <c r="AC89" s="52" t="s">
        <v>166</v>
      </c>
      <c r="AD89">
        <v>3</v>
      </c>
      <c r="AE89">
        <v>0</v>
      </c>
      <c r="AF89">
        <v>0</v>
      </c>
      <c r="AG8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</v>
      </c>
      <c r="AH89">
        <v>101</v>
      </c>
      <c r="AI89">
        <v>24</v>
      </c>
      <c r="AJ89">
        <v>0</v>
      </c>
      <c r="AK8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101.4</v>
      </c>
      <c r="AL89" s="52" t="s">
        <v>166</v>
      </c>
    </row>
    <row r="90" spans="29:38" x14ac:dyDescent="0.3">
      <c r="AC90" s="52" t="s">
        <v>232</v>
      </c>
      <c r="AD90">
        <v>31</v>
      </c>
      <c r="AE90">
        <v>16</v>
      </c>
      <c r="AF90">
        <v>0</v>
      </c>
      <c r="AG90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31.266666666666666</v>
      </c>
      <c r="AH90">
        <v>32</v>
      </c>
      <c r="AI90">
        <v>18</v>
      </c>
      <c r="AJ90">
        <v>0</v>
      </c>
      <c r="AK90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32.299999999999997</v>
      </c>
      <c r="AL90" s="52" t="s">
        <v>232</v>
      </c>
    </row>
    <row r="91" spans="29:38" x14ac:dyDescent="0.3">
      <c r="AC91" s="52" t="s">
        <v>160</v>
      </c>
      <c r="AD91">
        <v>36</v>
      </c>
      <c r="AE91">
        <v>5</v>
      </c>
      <c r="AF91">
        <v>0</v>
      </c>
      <c r="AG91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36.083333333333336</v>
      </c>
      <c r="AH91">
        <v>120</v>
      </c>
      <c r="AI91">
        <v>19</v>
      </c>
      <c r="AJ91">
        <v>0</v>
      </c>
      <c r="AK91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120.31666666666666</v>
      </c>
      <c r="AL91" s="52" t="s">
        <v>160</v>
      </c>
    </row>
    <row r="92" spans="29:38" x14ac:dyDescent="0.3">
      <c r="AC92" s="52" t="s">
        <v>156</v>
      </c>
      <c r="AD92">
        <v>51</v>
      </c>
      <c r="AE92">
        <v>57</v>
      </c>
      <c r="AF92">
        <v>0</v>
      </c>
      <c r="AG9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51.95</v>
      </c>
      <c r="AH92">
        <v>4</v>
      </c>
      <c r="AI92">
        <v>29</v>
      </c>
      <c r="AJ92">
        <v>0</v>
      </c>
      <c r="AK9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4.4833333333333334</v>
      </c>
      <c r="AL92" s="52" t="s">
        <v>156</v>
      </c>
    </row>
    <row r="93" spans="29:38" x14ac:dyDescent="0.3">
      <c r="AC93" s="52" t="s">
        <v>192</v>
      </c>
      <c r="AD93">
        <v>16</v>
      </c>
      <c r="AE93">
        <v>56</v>
      </c>
      <c r="AF93">
        <v>0</v>
      </c>
      <c r="AG9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16.933333333333334</v>
      </c>
      <c r="AH93">
        <v>54</v>
      </c>
      <c r="AI93">
        <v>0</v>
      </c>
      <c r="AJ93">
        <v>0</v>
      </c>
      <c r="AK9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54</v>
      </c>
      <c r="AL93" s="52" t="s">
        <v>192</v>
      </c>
    </row>
    <row r="94" spans="29:38" x14ac:dyDescent="0.3">
      <c r="AC94" s="52" t="s">
        <v>208</v>
      </c>
      <c r="AD94">
        <v>-33</v>
      </c>
      <c r="AE94">
        <v>35</v>
      </c>
      <c r="AF94">
        <v>0</v>
      </c>
      <c r="AG9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-33.583333333333336</v>
      </c>
      <c r="AH94">
        <v>-71</v>
      </c>
      <c r="AI94">
        <v>37</v>
      </c>
      <c r="AJ94">
        <v>0</v>
      </c>
      <c r="AK9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-71.61666666666666</v>
      </c>
      <c r="AL94" s="52" t="s">
        <v>208</v>
      </c>
    </row>
    <row r="95" spans="29:38" x14ac:dyDescent="0.3">
      <c r="AC95" s="52" t="s">
        <v>225</v>
      </c>
      <c r="AD95">
        <v>59</v>
      </c>
      <c r="AE95">
        <v>53</v>
      </c>
      <c r="AF95">
        <v>0</v>
      </c>
      <c r="AG9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59.883333333333333</v>
      </c>
      <c r="AH95">
        <v>30</v>
      </c>
      <c r="AI95">
        <v>14</v>
      </c>
      <c r="AJ95">
        <v>0</v>
      </c>
      <c r="AK9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30.233333333333334</v>
      </c>
      <c r="AL95" s="52" t="s">
        <v>225</v>
      </c>
    </row>
    <row r="96" spans="29:38" x14ac:dyDescent="0.3">
      <c r="AC96" s="52" t="s">
        <v>185</v>
      </c>
      <c r="AD96">
        <v>-23</v>
      </c>
      <c r="AE96">
        <v>58</v>
      </c>
      <c r="AF96">
        <v>0</v>
      </c>
      <c r="AG9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-23.966666666666665</v>
      </c>
      <c r="AH96">
        <v>-46</v>
      </c>
      <c r="AI96">
        <v>18</v>
      </c>
      <c r="AJ96">
        <v>0</v>
      </c>
      <c r="AK9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-46.3</v>
      </c>
      <c r="AL96" s="52" t="s">
        <v>185</v>
      </c>
    </row>
    <row r="97" spans="29:38" x14ac:dyDescent="0.3">
      <c r="AC97" s="52" t="s">
        <v>189</v>
      </c>
      <c r="AD97">
        <v>32</v>
      </c>
      <c r="AE97">
        <v>4</v>
      </c>
      <c r="AF97">
        <v>0</v>
      </c>
      <c r="AG9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32.06666666666667</v>
      </c>
      <c r="AH97">
        <v>-81</v>
      </c>
      <c r="AI97">
        <v>5</v>
      </c>
      <c r="AJ97">
        <v>0</v>
      </c>
      <c r="AK9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-81.083333333333329</v>
      </c>
      <c r="AL97" s="52" t="s">
        <v>189</v>
      </c>
    </row>
    <row r="98" spans="29:38" x14ac:dyDescent="0.3">
      <c r="AC98" s="52" t="s">
        <v>188</v>
      </c>
      <c r="AD98">
        <v>47</v>
      </c>
      <c r="AE98">
        <v>36</v>
      </c>
      <c r="AF98">
        <v>0</v>
      </c>
      <c r="AG9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47.6</v>
      </c>
      <c r="AH98">
        <v>-122</v>
      </c>
      <c r="AI98">
        <v>20</v>
      </c>
      <c r="AJ98">
        <v>0</v>
      </c>
      <c r="AK9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-122.33333333333333</v>
      </c>
      <c r="AL98" s="52" t="s">
        <v>188</v>
      </c>
    </row>
    <row r="99" spans="29:38" x14ac:dyDescent="0.3">
      <c r="AC99" s="52" t="s">
        <v>154</v>
      </c>
      <c r="AD99">
        <v>31</v>
      </c>
      <c r="AE99">
        <v>13</v>
      </c>
      <c r="AF99">
        <v>0</v>
      </c>
      <c r="AG9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31.216666666666665</v>
      </c>
      <c r="AH99">
        <v>121</v>
      </c>
      <c r="AI99">
        <v>29</v>
      </c>
      <c r="AJ99">
        <v>0</v>
      </c>
      <c r="AK9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121.48333333333333</v>
      </c>
      <c r="AL99" s="52" t="s">
        <v>154</v>
      </c>
    </row>
    <row r="100" spans="29:38" x14ac:dyDescent="0.3">
      <c r="AC100" s="52" t="s">
        <v>258</v>
      </c>
      <c r="AD100">
        <v>37</v>
      </c>
      <c r="AE100">
        <v>57</v>
      </c>
      <c r="AF100">
        <v>0</v>
      </c>
      <c r="AG100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37.950000000000003</v>
      </c>
      <c r="AH100">
        <v>-8</v>
      </c>
      <c r="AI100">
        <v>52</v>
      </c>
      <c r="AJ100">
        <v>0</v>
      </c>
      <c r="AK100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-8.8666666666666671</v>
      </c>
      <c r="AL100" s="52" t="s">
        <v>258</v>
      </c>
    </row>
    <row r="101" spans="29:38" x14ac:dyDescent="0.3">
      <c r="AC101" s="52" t="s">
        <v>155</v>
      </c>
      <c r="AD101">
        <v>1</v>
      </c>
      <c r="AE101">
        <v>16</v>
      </c>
      <c r="AF101">
        <v>0</v>
      </c>
      <c r="AG101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1.2666666666666666</v>
      </c>
      <c r="AH101">
        <v>103</v>
      </c>
      <c r="AI101">
        <v>51</v>
      </c>
      <c r="AJ101">
        <v>0</v>
      </c>
      <c r="AK101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103.85</v>
      </c>
      <c r="AL101" s="52" t="s">
        <v>155</v>
      </c>
    </row>
    <row r="102" spans="29:38" x14ac:dyDescent="0.3">
      <c r="AC102" s="52" t="s">
        <v>222</v>
      </c>
      <c r="AD102">
        <v>50</v>
      </c>
      <c r="AE102">
        <v>54</v>
      </c>
      <c r="AF102">
        <v>0</v>
      </c>
      <c r="AG10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50.9</v>
      </c>
      <c r="AH102">
        <v>-1</v>
      </c>
      <c r="AI102">
        <v>24</v>
      </c>
      <c r="AJ102">
        <v>0</v>
      </c>
      <c r="AK10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-1.4</v>
      </c>
      <c r="AL102" s="52" t="s">
        <v>222</v>
      </c>
    </row>
    <row r="103" spans="29:38" x14ac:dyDescent="0.3">
      <c r="AC103" s="52" t="s">
        <v>245</v>
      </c>
      <c r="AD103">
        <v>-7</v>
      </c>
      <c r="AE103">
        <v>12</v>
      </c>
      <c r="AF103">
        <v>0</v>
      </c>
      <c r="AG10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-7.2</v>
      </c>
      <c r="AH103">
        <v>112</v>
      </c>
      <c r="AI103">
        <v>44</v>
      </c>
      <c r="AJ103">
        <v>0</v>
      </c>
      <c r="AK10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112.73333333333333</v>
      </c>
      <c r="AL103" s="52" t="s">
        <v>245</v>
      </c>
    </row>
    <row r="104" spans="29:38" x14ac:dyDescent="0.3">
      <c r="AC104" s="52" t="s">
        <v>203</v>
      </c>
      <c r="AD104">
        <v>-33</v>
      </c>
      <c r="AE104">
        <v>58</v>
      </c>
      <c r="AF104">
        <v>0</v>
      </c>
      <c r="AG10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-33.966666666666669</v>
      </c>
      <c r="AH104">
        <v>151</v>
      </c>
      <c r="AI104">
        <v>13</v>
      </c>
      <c r="AJ104">
        <v>0</v>
      </c>
      <c r="AK10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151.21666666666667</v>
      </c>
      <c r="AL104" s="52" t="s">
        <v>203</v>
      </c>
    </row>
    <row r="105" spans="29:38" x14ac:dyDescent="0.3">
      <c r="AC105" s="52" t="s">
        <v>195</v>
      </c>
      <c r="AD105">
        <v>35</v>
      </c>
      <c r="AE105">
        <v>53</v>
      </c>
      <c r="AF105">
        <v>0</v>
      </c>
      <c r="AG10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35.883333333333333</v>
      </c>
      <c r="AH105">
        <v>-5</v>
      </c>
      <c r="AI105">
        <v>30</v>
      </c>
      <c r="AJ105">
        <v>0</v>
      </c>
      <c r="AK10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-5.5</v>
      </c>
      <c r="AL105" s="52" t="s">
        <v>195</v>
      </c>
    </row>
    <row r="106" spans="29:38" x14ac:dyDescent="0.3">
      <c r="AC106" s="52" t="s">
        <v>168</v>
      </c>
      <c r="AD106">
        <v>1</v>
      </c>
      <c r="AE106">
        <v>21</v>
      </c>
      <c r="AF106">
        <v>0</v>
      </c>
      <c r="AG10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1.35</v>
      </c>
      <c r="AH106">
        <v>103</v>
      </c>
      <c r="AI106">
        <v>33</v>
      </c>
      <c r="AJ106">
        <v>0</v>
      </c>
      <c r="AK10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103.55</v>
      </c>
      <c r="AL106" s="52" t="s">
        <v>168</v>
      </c>
    </row>
    <row r="107" spans="29:38" x14ac:dyDescent="0.3">
      <c r="AC107" s="52" t="s">
        <v>171</v>
      </c>
      <c r="AD107">
        <v>-6</v>
      </c>
      <c r="AE107">
        <v>6</v>
      </c>
      <c r="AF107">
        <v>0</v>
      </c>
      <c r="AG10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-6.1</v>
      </c>
      <c r="AH107">
        <v>106</v>
      </c>
      <c r="AI107">
        <v>53</v>
      </c>
      <c r="AJ107">
        <v>0</v>
      </c>
      <c r="AK10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106.88333333333334</v>
      </c>
      <c r="AL107" s="52" t="s">
        <v>171</v>
      </c>
    </row>
    <row r="108" spans="29:38" x14ac:dyDescent="0.3">
      <c r="AC108" s="52" t="s">
        <v>249</v>
      </c>
      <c r="AD108">
        <v>-37</v>
      </c>
      <c r="AE108">
        <v>39</v>
      </c>
      <c r="AF108">
        <v>0</v>
      </c>
      <c r="AG10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-37.65</v>
      </c>
      <c r="AH108">
        <v>176</v>
      </c>
      <c r="AI108">
        <v>10</v>
      </c>
      <c r="AJ108">
        <v>0</v>
      </c>
      <c r="AK10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176.16666666666666</v>
      </c>
      <c r="AL108" s="52" t="s">
        <v>249</v>
      </c>
    </row>
    <row r="109" spans="29:38" x14ac:dyDescent="0.3">
      <c r="AC109" s="52" t="s">
        <v>256</v>
      </c>
      <c r="AD109">
        <v>28</v>
      </c>
      <c r="AE109">
        <v>28</v>
      </c>
      <c r="AF109">
        <v>0</v>
      </c>
      <c r="AG10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28.466666666666665</v>
      </c>
      <c r="AH109">
        <v>-16</v>
      </c>
      <c r="AI109">
        <v>14</v>
      </c>
      <c r="AJ109">
        <v>0</v>
      </c>
      <c r="AK10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-16.233333333333334</v>
      </c>
      <c r="AL109" s="52" t="s">
        <v>256</v>
      </c>
    </row>
    <row r="110" spans="29:38" x14ac:dyDescent="0.3">
      <c r="AC110" s="52" t="s">
        <v>157</v>
      </c>
      <c r="AD110">
        <v>38</v>
      </c>
      <c r="AE110">
        <v>58</v>
      </c>
      <c r="AF110">
        <v>0</v>
      </c>
      <c r="AG110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38.966666666666669</v>
      </c>
      <c r="AH110">
        <v>117</v>
      </c>
      <c r="AI110">
        <v>46</v>
      </c>
      <c r="AJ110">
        <v>0</v>
      </c>
      <c r="AK110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117.76666666666667</v>
      </c>
      <c r="AL110" s="52" t="s">
        <v>157</v>
      </c>
    </row>
    <row r="111" spans="29:38" x14ac:dyDescent="0.3">
      <c r="AC111" s="52" t="s">
        <v>177</v>
      </c>
      <c r="AD111">
        <v>35</v>
      </c>
      <c r="AE111">
        <v>37</v>
      </c>
      <c r="AF111">
        <v>0</v>
      </c>
      <c r="AG111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35.616666666666667</v>
      </c>
      <c r="AH111">
        <v>139</v>
      </c>
      <c r="AI111">
        <v>46</v>
      </c>
      <c r="AJ111">
        <v>0</v>
      </c>
      <c r="AK111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139.76666666666668</v>
      </c>
      <c r="AL111" s="52" t="s">
        <v>177</v>
      </c>
    </row>
    <row r="112" spans="29:38" x14ac:dyDescent="0.3">
      <c r="AC112" s="52" t="s">
        <v>221</v>
      </c>
      <c r="AD112">
        <v>45</v>
      </c>
      <c r="AE112">
        <v>39</v>
      </c>
      <c r="AF112">
        <v>0</v>
      </c>
      <c r="AG112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45.65</v>
      </c>
      <c r="AH112">
        <v>13</v>
      </c>
      <c r="AI112">
        <v>46</v>
      </c>
      <c r="AJ112">
        <v>0</v>
      </c>
      <c r="AK112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13.766666666666667</v>
      </c>
      <c r="AL112" s="52" t="s">
        <v>221</v>
      </c>
    </row>
    <row r="113" spans="29:38" x14ac:dyDescent="0.3">
      <c r="AC113" s="52" t="s">
        <v>180</v>
      </c>
      <c r="AD113">
        <v>39</v>
      </c>
      <c r="AE113">
        <v>27</v>
      </c>
      <c r="AF113">
        <v>0</v>
      </c>
      <c r="AG113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39.450000000000003</v>
      </c>
      <c r="AH113">
        <v>0</v>
      </c>
      <c r="AI113">
        <v>19</v>
      </c>
      <c r="AJ113">
        <v>0</v>
      </c>
      <c r="AK113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0.31666666666666665</v>
      </c>
      <c r="AL113" s="52" t="s">
        <v>180</v>
      </c>
    </row>
    <row r="114" spans="29:38" x14ac:dyDescent="0.3">
      <c r="AC114" s="52" t="s">
        <v>209</v>
      </c>
      <c r="AD114">
        <v>-33</v>
      </c>
      <c r="AE114">
        <v>2</v>
      </c>
      <c r="AF114">
        <v>0</v>
      </c>
      <c r="AG114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-33.033333333333331</v>
      </c>
      <c r="AH114">
        <v>-71</v>
      </c>
      <c r="AI114">
        <v>37</v>
      </c>
      <c r="AJ114">
        <v>0</v>
      </c>
      <c r="AK114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-71.61666666666666</v>
      </c>
      <c r="AL114" s="52" t="s">
        <v>209</v>
      </c>
    </row>
    <row r="115" spans="29:38" x14ac:dyDescent="0.3">
      <c r="AC115" s="52" t="s">
        <v>190</v>
      </c>
      <c r="AD115">
        <v>49</v>
      </c>
      <c r="AE115">
        <v>17</v>
      </c>
      <c r="AF115">
        <v>0</v>
      </c>
      <c r="AG115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49.283333333333331</v>
      </c>
      <c r="AH115">
        <v>-123</v>
      </c>
      <c r="AI115">
        <v>7</v>
      </c>
      <c r="AJ115">
        <v>0</v>
      </c>
      <c r="AK115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-123.11666666666666</v>
      </c>
      <c r="AL115" s="52" t="s">
        <v>190</v>
      </c>
    </row>
    <row r="116" spans="29:38" x14ac:dyDescent="0.3">
      <c r="AC116" s="52" t="s">
        <v>212</v>
      </c>
      <c r="AD116">
        <v>19</v>
      </c>
      <c r="AE116">
        <v>12</v>
      </c>
      <c r="AF116">
        <v>0</v>
      </c>
      <c r="AG116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19.2</v>
      </c>
      <c r="AH116">
        <v>-96</v>
      </c>
      <c r="AI116">
        <v>8</v>
      </c>
      <c r="AJ116">
        <v>0</v>
      </c>
      <c r="AK116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-96.13333333333334</v>
      </c>
      <c r="AL116" s="52" t="s">
        <v>212</v>
      </c>
    </row>
    <row r="117" spans="29:38" x14ac:dyDescent="0.3">
      <c r="AC117" s="52" t="s">
        <v>257</v>
      </c>
      <c r="AD117">
        <v>42</v>
      </c>
      <c r="AE117">
        <v>14</v>
      </c>
      <c r="AF117">
        <v>0</v>
      </c>
      <c r="AG117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42.233333333333334</v>
      </c>
      <c r="AH117">
        <v>-8</v>
      </c>
      <c r="AI117">
        <v>43</v>
      </c>
      <c r="AJ117">
        <v>0</v>
      </c>
      <c r="AK117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-8.7166666666666668</v>
      </c>
      <c r="AL117" s="52" t="s">
        <v>257</v>
      </c>
    </row>
    <row r="118" spans="29:38" x14ac:dyDescent="0.3">
      <c r="AC118" s="52" t="s">
        <v>167</v>
      </c>
      <c r="AD118">
        <v>24</v>
      </c>
      <c r="AE118">
        <v>29</v>
      </c>
      <c r="AF118">
        <v>0</v>
      </c>
      <c r="AG118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24.483333333333334</v>
      </c>
      <c r="AH118">
        <v>118</v>
      </c>
      <c r="AI118">
        <v>4</v>
      </c>
      <c r="AJ118">
        <v>0</v>
      </c>
      <c r="AK118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118.06666666666666</v>
      </c>
      <c r="AL118" s="52" t="s">
        <v>167</v>
      </c>
    </row>
    <row r="119" spans="29:38" x14ac:dyDescent="0.3">
      <c r="AC119" s="52" t="s">
        <v>193</v>
      </c>
      <c r="AD119">
        <v>35</v>
      </c>
      <c r="AE119">
        <v>27</v>
      </c>
      <c r="AF119">
        <v>0</v>
      </c>
      <c r="AG119">
        <f>IF(Tabla6[[#This Row],[Columna1]]&gt;0,Tabla6[[#This Row],[Columna1]]+Tabla6[[#This Row],[Columna2]]/60+Tabla6[[#This Row],[Columna3]]/(60*60),IF(Tabla6[[#This Row],[Columna1]]&lt;0,Tabla6[[#This Row],[Columna1]]-Tabla6[[#This Row],[Columna2]]/60-Tabla6[[#This Row],[Columna3]]/(60*60),IF(Tabla6[[#This Row],[Columna1]]=0,IF(Tabla6[[#This Row],[Columna2]]&gt;0,0+Tabla6[[#This Row],[Columna2]]/60+Tabla6[[#This Row],[Columna3]]/(60*60),IF(Tabla6[[#This Row],[Columna2]]&lt;0,0-Tabla6[[#This Row],[Columna2]]/60-Tabla6[[#This Row],[Columna3]]/(60*60),"Error")))))</f>
        <v>35.450000000000003</v>
      </c>
      <c r="AH119">
        <v>139</v>
      </c>
      <c r="AI119">
        <v>39</v>
      </c>
      <c r="AJ119">
        <v>0</v>
      </c>
      <c r="AK119">
        <f>IF(Tabla6[[#This Row],[Columna5]]&gt;0,Tabla6[[#This Row],[Columna5]]+Tabla6[[#This Row],[Columna6]]/60+Tabla6[[#This Row],[Columna7]]/(60*60),IF(Tabla6[[#This Row],[Columna5]]&lt;0,Tabla6[[#This Row],[Columna5]]-Tabla6[[#This Row],[Columna6]]/60-Tabla6[[#This Row],[Columna7]]/(60*60),IF(Tabla6[[#This Row],[Columna5]]=0,IF(Tabla6[[#This Row],[Columna6]]&gt;0,0+Tabla6[[#This Row],[Columna6]]/60+Tabla6[[#This Row],[Columna7]]/(60*60),IF(Tabla6[[#This Row],[Columna6]]&lt;0,0-Tabla6[[#This Row],[Columna6]]/60-Tabla6[[#This Row],[Columna7]]/(60*60),"Error")))))</f>
        <v>139.65</v>
      </c>
      <c r="AL119" s="52" t="s">
        <v>193</v>
      </c>
    </row>
    <row r="120" spans="29:38" x14ac:dyDescent="0.3">
      <c r="AC120" s="12"/>
      <c r="AJ120"/>
    </row>
  </sheetData>
  <conditionalFormatting sqref="I11 P11 S11:AA25 I13 P13 E14:H14 L14:O14 Q21 AB21">
    <cfRule type="expression" dxfId="193" priority="66">
      <formula>$Q$8="Ocultar"</formula>
    </cfRule>
  </conditionalFormatting>
  <dataValidations count="2">
    <dataValidation type="list" allowBlank="1" showInputMessage="1" showErrorMessage="1" sqref="P21" xr:uid="{4C3F3B57-CEF5-4D1D-8CAB-9FE534951438}">
      <formula1>"N,S"</formula1>
    </dataValidation>
    <dataValidation type="list" allowBlank="1" showInputMessage="1" showErrorMessage="1" sqref="Q8" xr:uid="{8699F41D-B8CE-4E18-A6E6-8E4827527EF4}">
      <formula1>"Ver Cuentas, Ocultar"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1419-271F-443B-A05C-A5F0BA3AE2E1}">
  <sheetPr>
    <tabColor rgb="FF223B82"/>
  </sheetPr>
  <dimension ref="D6:AT33"/>
  <sheetViews>
    <sheetView topLeftCell="AL3" workbookViewId="0">
      <selection activeCell="AN19" sqref="AN19"/>
    </sheetView>
    <sheetView workbookViewId="1"/>
  </sheetViews>
  <sheetFormatPr baseColWidth="10" defaultRowHeight="14.4" x14ac:dyDescent="0.3"/>
  <cols>
    <col min="1" max="4" width="11.5546875" style="8"/>
    <col min="5" max="5" width="14.88671875" style="8" customWidth="1"/>
    <col min="6" max="6" width="4.88671875" style="8" customWidth="1"/>
    <col min="7" max="7" width="2.21875" style="8" customWidth="1"/>
    <col min="8" max="8" width="11.5546875" style="8"/>
    <col min="9" max="9" width="3.5546875" style="8" customWidth="1"/>
    <col min="10" max="10" width="4.5546875" style="8" customWidth="1"/>
    <col min="11" max="11" width="11.5546875" style="8"/>
    <col min="12" max="12" width="3.5546875" style="8" customWidth="1"/>
    <col min="13" max="13" width="3.21875" style="8" customWidth="1"/>
    <col min="14" max="14" width="11.5546875" style="8" customWidth="1"/>
    <col min="15" max="16" width="11.5546875" style="8"/>
    <col min="17" max="17" width="17" style="8" customWidth="1"/>
    <col min="18" max="18" width="5.33203125" style="8" customWidth="1"/>
    <col min="19" max="19" width="3.21875" style="8" customWidth="1"/>
    <col min="20" max="20" width="11.5546875" style="8"/>
    <col min="21" max="21" width="7" style="8" customWidth="1"/>
    <col min="22" max="22" width="11.5546875" style="8"/>
    <col min="23" max="23" width="3.109375" style="8" customWidth="1"/>
    <col min="24" max="24" width="3.77734375" style="8" customWidth="1"/>
    <col min="25" max="27" width="11.5546875" style="8"/>
    <col min="28" max="28" width="17.21875" style="8" customWidth="1"/>
    <col min="29" max="29" width="5.33203125" style="8" customWidth="1"/>
    <col min="30" max="30" width="3.21875" style="8" customWidth="1"/>
    <col min="31" max="31" width="11.5546875" style="8"/>
    <col min="32" max="32" width="7" style="8" customWidth="1"/>
    <col min="33" max="33" width="11.5546875" style="8"/>
    <col min="34" max="34" width="3.109375" style="8" customWidth="1"/>
    <col min="35" max="35" width="3.88671875" style="8" customWidth="1"/>
    <col min="36" max="16384" width="11.5546875" style="8"/>
  </cols>
  <sheetData>
    <row r="6" spans="4:46" x14ac:dyDescent="0.3">
      <c r="O6" s="53" t="s">
        <v>350</v>
      </c>
    </row>
    <row r="7" spans="4:46" x14ac:dyDescent="0.3">
      <c r="E7" s="54" t="s">
        <v>11</v>
      </c>
      <c r="F7" s="52" t="s">
        <v>362</v>
      </c>
      <c r="G7" s="52"/>
      <c r="H7" s="52" t="s">
        <v>466</v>
      </c>
      <c r="I7" s="52"/>
      <c r="J7" s="52"/>
      <c r="K7" s="52" t="s">
        <v>355</v>
      </c>
      <c r="L7" s="52"/>
      <c r="M7" s="52"/>
      <c r="N7" s="52" t="s">
        <v>470</v>
      </c>
      <c r="O7" s="29" t="s">
        <v>360</v>
      </c>
      <c r="P7" s="29" t="s">
        <v>361</v>
      </c>
      <c r="Q7" s="54" t="s">
        <v>19</v>
      </c>
      <c r="R7" s="52" t="s">
        <v>362</v>
      </c>
      <c r="S7" s="52"/>
      <c r="T7" s="52" t="s">
        <v>352</v>
      </c>
      <c r="U7" s="52" t="s">
        <v>359</v>
      </c>
      <c r="V7" s="60">
        <f>Interfaz!I38</f>
        <v>1.0249999999999999</v>
      </c>
      <c r="W7" s="52" t="s">
        <v>356</v>
      </c>
      <c r="X7" s="52" t="s">
        <v>353</v>
      </c>
      <c r="Y7" s="52" t="s">
        <v>470</v>
      </c>
      <c r="Z7" s="29" t="s">
        <v>360</v>
      </c>
      <c r="AA7" s="29" t="s">
        <v>359</v>
      </c>
      <c r="AB7" s="54" t="s">
        <v>63</v>
      </c>
      <c r="AC7" s="52" t="s">
        <v>362</v>
      </c>
      <c r="AD7" s="52"/>
      <c r="AE7" s="52" t="s">
        <v>352</v>
      </c>
      <c r="AF7" s="52" t="s">
        <v>359</v>
      </c>
      <c r="AG7" s="60">
        <f>Interfaz!I66</f>
        <v>0.9</v>
      </c>
      <c r="AH7" s="52" t="s">
        <v>356</v>
      </c>
      <c r="AI7" s="52" t="s">
        <v>353</v>
      </c>
      <c r="AJ7" s="52" t="s">
        <v>470</v>
      </c>
      <c r="AK7" s="29" t="s">
        <v>360</v>
      </c>
      <c r="AL7" s="29" t="s">
        <v>359</v>
      </c>
      <c r="AM7" s="54" t="s">
        <v>566</v>
      </c>
      <c r="AN7" s="52" t="s">
        <v>3</v>
      </c>
      <c r="AO7" s="52" t="s">
        <v>17</v>
      </c>
      <c r="AP7" s="52" t="s">
        <v>382</v>
      </c>
      <c r="AQ7" s="52" t="s">
        <v>15</v>
      </c>
      <c r="AR7" s="52" t="s">
        <v>383</v>
      </c>
      <c r="AS7" s="52" t="s">
        <v>16</v>
      </c>
      <c r="AT7" s="52" t="s">
        <v>384</v>
      </c>
    </row>
    <row r="8" spans="4:46" x14ac:dyDescent="0.3">
      <c r="E8" s="52" t="s">
        <v>6</v>
      </c>
      <c r="F8" s="53" t="str" cm="1">
        <f t="array" ref="F8:F12">Interfaz!F12:F16</f>
        <v>Vacio</v>
      </c>
      <c r="G8" s="53"/>
      <c r="H8" s="60" cm="1">
        <f t="array" ref="H8:H12">Interfaz!G12:G16</f>
        <v>0</v>
      </c>
      <c r="I8" s="57" cm="1">
        <f t="array" ref="I8:I12">Interfaz!H12:H16</f>
        <v>0</v>
      </c>
      <c r="J8" s="57" cm="1">
        <f t="array" ref="J8:J12">Interfaz!I12:I16</f>
        <v>0</v>
      </c>
      <c r="K8" s="60" cm="1">
        <f t="array" ref="K8:K12">Interfaz!J12:J16</f>
        <v>0</v>
      </c>
      <c r="L8" s="57" cm="1">
        <f t="array" ref="L8:L12">Interfaz!K12:K16</f>
        <v>0</v>
      </c>
      <c r="M8" s="57" cm="1">
        <f t="array" ref="M8:M12">Interfaz!L12:L16</f>
        <v>0</v>
      </c>
      <c r="N8" s="56">
        <f>IFERROR(IF(F8="Vacio",0,IF(OR(F8="Full",G8="%"),O8/P8,IF(AND(G8="D",I8="Tm"),H8,IF(AND(G8="D",I8="LT"),H8*1.01605,IF(G8="V",O8/P8,0))))),"Error")</f>
        <v>0</v>
      </c>
      <c r="O8" s="32">
        <f>IF(F8="Full",TTHH!Y10,IF(F8="Vacio",0,IF(G8="%",TTHH!C9*H8/100,IF(AND(G8="V",I8="m3"),H8,IF(AND(G8="V",I8="ft3"),H8*0.028316,IF(G8="D",N8*P8,0))))))</f>
        <v>0</v>
      </c>
      <c r="P8" s="32">
        <f>IF(OR(AND(L8="m3",M8="Tm"),AND(M8="m3",L8="Tm")), E13, IF(OR(AND(L8="m3",M8="LT"),AND(M8="m3",L8="LT")), E13/1.01605, IF(OR(AND(L8="ft3",M8="Tm"),AND(M8="ft3",L8="Tm")), E13*0.028316, IF(OR(AND(L8="ft3",M8="LT"),AND(M8="ft3",L8="LT")), E13*(0.028316/1.01605), 0))))</f>
        <v>0</v>
      </c>
      <c r="Q8" s="52" t="s">
        <v>20</v>
      </c>
      <c r="R8" s="57" t="str" cm="1">
        <f t="array" ref="R8:R32">Interfaz!F39:F63</f>
        <v>Full</v>
      </c>
      <c r="S8" s="52" t="s">
        <v>352</v>
      </c>
      <c r="T8" s="60" cm="1">
        <f t="array" ref="T8:T32">Interfaz!G39:G63</f>
        <v>0</v>
      </c>
      <c r="U8" s="57" t="str" cm="1">
        <f t="array" ref="U8:U32">Interfaz!H39:H63</f>
        <v>Igual</v>
      </c>
      <c r="V8" s="60" cm="1">
        <f t="array" ref="V8:V32">Interfaz!I39:I63</f>
        <v>0</v>
      </c>
      <c r="W8" s="57" cm="1">
        <f t="array" ref="W8:W32">Interfaz!J39:J63</f>
        <v>0</v>
      </c>
      <c r="X8" s="57" cm="1">
        <f t="array" ref="X8:X32">Interfaz!K39:K63</f>
        <v>0</v>
      </c>
      <c r="Y8" s="56">
        <f>IFERROR(IF(R8="Vacio",0,IF(OR(R8="Full",S8="%"),Z8*AA8,IF(AND(S8="D",#REF!="Tm"),T8,IF(AND(S8="D",#REF!="LT"),T8*1.01605,IF(S8="V",Z8*AA8,0))))),"Error")</f>
        <v>1921.1574999999998</v>
      </c>
      <c r="Z8" s="32">
        <f>IF(R8="Full",TTHH!C21,IF(R8="Vacio",0,IF(S8="%",TTHH!C21*T8/100,IF(AND(S8="V",#REF!="m3"),T8,IF(AND(S8="V",#REF!="ft3"),T8*0.028316,IF(S8="D",Y8*AA8,0))))))</f>
        <v>1874.3</v>
      </c>
      <c r="AA8" s="32">
        <f t="shared" ref="AA8:AA31" si="0">IF(R8="Vacio",0,IF(U8="Igual",$V$7,IF(AND(W8="Tm",X8="m3"),V8,IF(AND(W8="Tm",X8="ft3"),V8/0.028316,IF(AND(W8="LT",X8="m3"),V8*1.01605,IF(AND(W8="LT",X8="ft3"),V8*(1.01605/0.028316),0))))))</f>
        <v>1.0249999999999999</v>
      </c>
      <c r="AB8" s="52" t="s">
        <v>65</v>
      </c>
      <c r="AC8" s="57" cm="1">
        <f t="array" ref="AC8:AC17">Interfaz!F67:F76</f>
        <v>0</v>
      </c>
      <c r="AD8" s="52" t="s">
        <v>352</v>
      </c>
      <c r="AE8" s="60" cm="1">
        <f t="array" ref="AE8:AE17">Interfaz!G67:G76</f>
        <v>0</v>
      </c>
      <c r="AF8" s="57" cm="1">
        <f t="array" ref="AF8:AF17">Interfaz!H67:H76</f>
        <v>0</v>
      </c>
      <c r="AG8" s="60" cm="1">
        <f t="array" ref="AG8:AG17">Interfaz!I67:I76</f>
        <v>0</v>
      </c>
      <c r="AH8" s="57" cm="1">
        <f t="array" ref="AH8:AH17">Interfaz!J67:J76</f>
        <v>0</v>
      </c>
      <c r="AI8" s="57" cm="1">
        <f t="array" ref="AI8:AI17">Interfaz!K67:K76</f>
        <v>0</v>
      </c>
      <c r="AJ8" s="56">
        <f>IFERROR(IF(AC8="Vacio",0,IF(OR(AC8="Full",AD8="%"),AK8*AL8,IF(AND(AD8="D",#REF!="Tm"),AE8,IF(AND(AD8="D",#REF!="LT"),AE8*1.01605,IF(AD8="V",AK8*AL8,0))))),"Error")</f>
        <v>0</v>
      </c>
      <c r="AK8" s="32">
        <f>IF(AC8="Full",TTHH!C80,IF(AC8="Vacio",0,IF(AD8="%",TTHH!C80*AE8/100,IF(AND(AD8="V",#REF!="m3"),AE8,IF(AND(AD8="V",#REF!="ft3"),AE8*0.028316,IF(AD8="D",AJ8*AL8,0))))))</f>
        <v>0</v>
      </c>
      <c r="AL8" s="32">
        <f t="shared" ref="AL8:AL17" si="1">IF(AC8="Vacio",0,IF(AF8="Igual",$AG$7,IF(AND(AH8="Tm",AI8="m3"),AG8,IF(AND(AH8="Tm",AI8="ft3"),AG8/0.028316,IF(AND(AH8="LT",AI8="m3"),AG8*1.01605,IF(AND(AH8="LT",AI8="ft3"),AG8*(1.01605/0.028316),0))))))</f>
        <v>0</v>
      </c>
      <c r="AM8" s="52" t="s">
        <v>567</v>
      </c>
      <c r="AN8" s="60" cm="1">
        <f t="array" ref="AN8:AN17">Interfaz!F99:F108</f>
        <v>15</v>
      </c>
      <c r="AO8" s="60" cm="1">
        <f t="array" ref="AO8:AO17">Interfaz!G99:G108</f>
        <v>17</v>
      </c>
      <c r="AP8" s="56">
        <f>AN8*AO8</f>
        <v>255</v>
      </c>
      <c r="AQ8" s="60" cm="1">
        <f t="array" ref="AQ8:AQ17">Interfaz!I99:I108</f>
        <v>20</v>
      </c>
      <c r="AR8" s="56">
        <f>AN8*AQ8</f>
        <v>300</v>
      </c>
      <c r="AS8" s="60" cm="1">
        <f t="array" ref="AS8:AS17">Interfaz!K99:K108</f>
        <v>10</v>
      </c>
      <c r="AT8" s="56">
        <f>AN8*AS8</f>
        <v>150</v>
      </c>
    </row>
    <row r="9" spans="4:46" x14ac:dyDescent="0.3">
      <c r="E9" s="52" t="s">
        <v>7</v>
      </c>
      <c r="F9" s="53" t="str">
        <v>Vacio</v>
      </c>
      <c r="G9" s="53"/>
      <c r="H9" s="60">
        <v>0</v>
      </c>
      <c r="I9" s="57">
        <v>0</v>
      </c>
      <c r="J9" s="57">
        <v>0</v>
      </c>
      <c r="K9" s="60">
        <v>0</v>
      </c>
      <c r="L9" s="57">
        <v>0</v>
      </c>
      <c r="M9" s="57">
        <v>0</v>
      </c>
      <c r="N9" s="56">
        <f>IFERROR(IF(F9="Vacio",0,IF(OR(F9="Full",G9="%"),O9/P9,IF(AND(G9="D",I9="Tm"),H9,IF(AND(G9="D",I9="LT"),H9*1.01605,IF(G9="V",O9/P9,0))))),"Error")</f>
        <v>0</v>
      </c>
      <c r="O9" s="32">
        <f>IF(F9="Full",TTHH!AF10,IF(F9="Vacio",0,IF(G9="%",TTHH!C10*H9/100,IF(AND(G9="V",I9="m3"),H9,IF(AND(G9="V",I9="ft3"),H9*0.028316,IF(G9="D",N9*P9,0))))))</f>
        <v>0</v>
      </c>
      <c r="P9" s="32">
        <f>IF(OR(AND(L9="m3",M9="Tm"),AND(M9="m3",L9="Tm")), H13, IF(OR(AND(L9="m3",M9="LT"),AND(M9="m3",L9="LT")), H13/1.01605, IF(OR(AND(L9="ft3",M9="Tm"),AND(M9="ft3",L9="Tm")), H13*0.028316, IF(OR(AND(L9="ft3",M9="LT"),AND(M9="ft3",L9="LT")), H13*(0.028316/1.01605), 0))))</f>
        <v>0</v>
      </c>
      <c r="Q9" s="52" t="s">
        <v>21</v>
      </c>
      <c r="R9" s="57" t="str">
        <v>Full</v>
      </c>
      <c r="S9" s="52" t="s">
        <v>352</v>
      </c>
      <c r="T9" s="60">
        <v>0</v>
      </c>
      <c r="U9" s="57" t="str">
        <v>Igual</v>
      </c>
      <c r="V9" s="60">
        <v>0</v>
      </c>
      <c r="W9" s="57">
        <v>0</v>
      </c>
      <c r="X9" s="57">
        <v>0</v>
      </c>
      <c r="Y9" s="56">
        <f>IFERROR(IF(R9="Vacio",0,IF(OR(R9="Full",S9="%"),Z9*AA9,IF(AND(S9="D",#REF!="Tm"),T9,IF(AND(S9="D",#REF!="LT"),T9*1.01605,IF(S9="V",Z9*AA9,0))))),"Error")</f>
        <v>251.63749999999999</v>
      </c>
      <c r="Z9" s="32">
        <f>IF(R9="Full",TTHH!C22,IF(R9="Vacio",0,IF(S9="%",TTHH!C22*T9/100,IF(AND(S9="V",#REF!="m3"),T9,IF(AND(S9="V",#REF!="ft3"),T9*0.028316,IF(S9="D",Y9*AA9,0))))))</f>
        <v>245.5</v>
      </c>
      <c r="AA9" s="32">
        <f t="shared" si="0"/>
        <v>1.0249999999999999</v>
      </c>
      <c r="AB9" s="52" t="s">
        <v>66</v>
      </c>
      <c r="AC9" s="57" t="str">
        <v>Full</v>
      </c>
      <c r="AD9" s="52" t="s">
        <v>352</v>
      </c>
      <c r="AE9" s="60">
        <v>0</v>
      </c>
      <c r="AF9" s="57" t="str">
        <v>Igual</v>
      </c>
      <c r="AG9" s="60">
        <v>0</v>
      </c>
      <c r="AH9" s="57">
        <v>0</v>
      </c>
      <c r="AI9" s="57">
        <v>0</v>
      </c>
      <c r="AJ9" s="56">
        <f>IFERROR(IF(AC9="Vacio",0,IF(OR(AC9="Full",AD9="%"),AK9*AL9,IF(AND(AD9="D",#REF!="Tm"),AE9,IF(AND(AD9="D",#REF!="LT"),AE9*1.01605,IF(AD9="V",AK9*AL9,0))))),"Error")</f>
        <v>16.829999999999998</v>
      </c>
      <c r="AK9" s="32">
        <f>IF(AC9="Full",TTHH!C81,IF(AC9="Vacio",0,IF(AD9="%",TTHH!C81*AE9/100,IF(AND(AD9="V",#REF!="m3"),AE9,IF(AND(AD9="V",#REF!="ft3"),AE9*0.028316,IF(AD9="D",AJ9*AL9,0))))))</f>
        <v>18.7</v>
      </c>
      <c r="AL9" s="32">
        <f t="shared" si="1"/>
        <v>0.9</v>
      </c>
      <c r="AM9" s="52" t="s">
        <v>568</v>
      </c>
      <c r="AN9" s="60">
        <v>6</v>
      </c>
      <c r="AO9" s="60">
        <v>15</v>
      </c>
      <c r="AP9" s="56">
        <f t="shared" ref="AP9:AP17" si="2">AN9*AO9</f>
        <v>90</v>
      </c>
      <c r="AQ9" s="60">
        <v>180</v>
      </c>
      <c r="AR9" s="56">
        <f t="shared" ref="AR9:AR17" si="3">AN9*AQ9</f>
        <v>1080</v>
      </c>
      <c r="AS9" s="60">
        <v>0</v>
      </c>
      <c r="AT9" s="56">
        <f t="shared" ref="AT9:AT17" si="4">AN9*AS9</f>
        <v>0</v>
      </c>
    </row>
    <row r="10" spans="4:46" x14ac:dyDescent="0.3">
      <c r="E10" s="52" t="s">
        <v>8</v>
      </c>
      <c r="F10" s="53" t="str">
        <v>Vacio</v>
      </c>
      <c r="G10" s="53"/>
      <c r="H10" s="60">
        <v>0</v>
      </c>
      <c r="I10" s="57">
        <v>0</v>
      </c>
      <c r="J10" s="57">
        <v>0</v>
      </c>
      <c r="K10" s="60">
        <v>0</v>
      </c>
      <c r="L10" s="57">
        <v>0</v>
      </c>
      <c r="M10" s="57">
        <v>0</v>
      </c>
      <c r="N10" s="56">
        <f>IFERROR(IF(F10="Vacio",0,IF(OR(F10="Full",G10="%"),O10/P10,IF(AND(G10="D",I10="Tm"),H10,IF(AND(G10="D",I10="LT"),H10*1.01605,IF(G10="V",O10/P10,0))))),"Error")</f>
        <v>0</v>
      </c>
      <c r="O10" s="32">
        <f>IF(F10="Full",Tabla25[[#This Row],[Columna3]],IF(F10="Vacio",0,IF(G10="%",TTHH!C11*H10/100,IF(AND(G10="V",I10="m3"),H10,IF(AND(G10="V",I10="ft3"),H10*0.028316,IF(G10="D",N10*P10,0))))))</f>
        <v>0</v>
      </c>
      <c r="P10" s="32">
        <f>IF(OR(AND(L10="m3",M10="Tm"),AND(M10="m3",L10="Tm")), K13, IF(OR(AND(L10="m3",M10="LT"),AND(M10="m3",L10="LT")), K13/1.01605, IF(OR(AND(L10="ft3",M10="Tm"),AND(M10="ft3",L10="Tm")), K13*0.028316, IF(OR(AND(L10="ft3",M10="LT"),AND(M10="ft3",L10="LT")), K13*(0.028316/1.01605), 0))))</f>
        <v>0</v>
      </c>
      <c r="Q10" s="52" t="s">
        <v>25</v>
      </c>
      <c r="R10" s="57" t="str">
        <v>Full</v>
      </c>
      <c r="S10" s="52" t="s">
        <v>352</v>
      </c>
      <c r="T10" s="60">
        <v>0</v>
      </c>
      <c r="U10" s="57" t="str">
        <v>Igual</v>
      </c>
      <c r="V10" s="60">
        <v>0</v>
      </c>
      <c r="W10" s="57">
        <v>0</v>
      </c>
      <c r="X10" s="57">
        <v>0</v>
      </c>
      <c r="Y10" s="56">
        <f>IFERROR(IF(R10="Vacio",0,IF(OR(R10="Full",S10="%"),Z10*AA10,IF(AND(S10="D",#REF!="Tm"),T10,IF(AND(S10="D",#REF!="LT"),T10*1.01605,IF(S10="V",Z10*AA10,0))))),"Error")</f>
        <v>251.63749999999999</v>
      </c>
      <c r="Z10" s="32">
        <f>IF(R10="Full",TTHH!C23,IF(R10="Vacio",0,IF(S10="%",TTHH!C23*T10/100,IF(AND(S10="V",#REF!="m3"),T10,IF(AND(S10="V",#REF!="ft3"),T10*0.028316,IF(S10="D",Y10*AA10,0))))))</f>
        <v>245.5</v>
      </c>
      <c r="AA10" s="32">
        <f t="shared" si="0"/>
        <v>1.0249999999999999</v>
      </c>
      <c r="AB10" s="52" t="s">
        <v>67</v>
      </c>
      <c r="AC10" s="57" t="str">
        <v>Slack</v>
      </c>
      <c r="AD10" s="52" t="s">
        <v>352</v>
      </c>
      <c r="AE10" s="60">
        <v>70</v>
      </c>
      <c r="AF10" s="57" t="str">
        <v>Igual</v>
      </c>
      <c r="AG10" s="60">
        <v>0</v>
      </c>
      <c r="AH10" s="57">
        <v>0</v>
      </c>
      <c r="AI10" s="57">
        <v>0</v>
      </c>
      <c r="AJ10" s="56">
        <f>IFERROR(IF(AC10="Vacio",0,IF(OR(AC10="Full",AD10="%"),AK10*AL10,IF(AND(AD10="D",#REF!="Tm"),AE10,IF(AND(AD10="D",#REF!="LT"),AE10*1.01605,IF(AD10="V",AK10*AL10,0))))),"Error")</f>
        <v>12.726000000000001</v>
      </c>
      <c r="AK10" s="32">
        <f>IF(AC10="Full",TTHH!C82,IF(AC10="Vacio",0,IF(AD10="%",TTHH!C82*AE10/100,IF(AND(AD10="V",#REF!="m3"),AE10,IF(AND(AD10="V",#REF!="ft3"),AE10*0.028316,IF(AD10="D",AJ10*AL10,0))))))</f>
        <v>14.14</v>
      </c>
      <c r="AL10" s="32">
        <f t="shared" si="1"/>
        <v>0.9</v>
      </c>
      <c r="AM10" s="52" t="s">
        <v>569</v>
      </c>
      <c r="AN10" s="60">
        <v>0</v>
      </c>
      <c r="AO10" s="60">
        <v>0</v>
      </c>
      <c r="AP10" s="56">
        <f t="shared" si="2"/>
        <v>0</v>
      </c>
      <c r="AQ10" s="60">
        <v>0</v>
      </c>
      <c r="AR10" s="56">
        <f t="shared" si="3"/>
        <v>0</v>
      </c>
      <c r="AS10" s="60">
        <v>0</v>
      </c>
      <c r="AT10" s="56">
        <f t="shared" si="4"/>
        <v>0</v>
      </c>
    </row>
    <row r="11" spans="4:46" x14ac:dyDescent="0.3">
      <c r="E11" s="52" t="s">
        <v>9</v>
      </c>
      <c r="F11" s="53" t="str">
        <v>Vacio</v>
      </c>
      <c r="G11" s="53"/>
      <c r="H11" s="60">
        <v>0</v>
      </c>
      <c r="I11" s="57">
        <v>0</v>
      </c>
      <c r="J11" s="57">
        <v>0</v>
      </c>
      <c r="K11" s="60">
        <v>0</v>
      </c>
      <c r="L11" s="57">
        <v>0</v>
      </c>
      <c r="M11" s="57">
        <v>0</v>
      </c>
      <c r="N11" s="56">
        <f>IFERROR(IF(F11="Vacio",0,IF(OR(F11="Full",G11="%"),O11/P11,IF(AND(G11="D",I11="Tm"),H11,IF(AND(G11="D",I11="LT"),H11*1.01605,IF(G11="V",O11/P11,0))))),"Error")</f>
        <v>0</v>
      </c>
      <c r="O11" s="32">
        <f>IF(F11="Full",TTHH!AT10,IF(F11="Vacio",0,IF(G11="%",TTHH!C12*H11/100,IF(AND(G11="V",I11="m3"),H11,IF(AND(G11="V",I11="ft3"),H11*0.028316,IF(G11="D",N11*P11,0))))))</f>
        <v>0</v>
      </c>
      <c r="P11" s="32">
        <f>IF(OR(AND(L11="m3",M11="Tm"),AND(M11="m3",L11="Tm")), N13, IF(OR(AND(L11="m3",M11="LT"),AND(M11="m3",L11="LT")), N13/1.01605, IF(OR(AND(L11="ft3",M11="Tm"),AND(M11="ft3",L11="Tm")), N13*0.028316, IF(OR(AND(L11="ft3",M11="LT"),AND(M11="ft3",L11="LT")), N13*(0.028316/1.01605), 0))))</f>
        <v>0</v>
      </c>
      <c r="Q11" s="52" t="s">
        <v>23</v>
      </c>
      <c r="R11" s="57" t="str">
        <v>Full</v>
      </c>
      <c r="S11" s="52" t="s">
        <v>352</v>
      </c>
      <c r="T11" s="60">
        <v>0</v>
      </c>
      <c r="U11" s="57" t="str">
        <v>Igual</v>
      </c>
      <c r="V11" s="60">
        <v>0</v>
      </c>
      <c r="W11" s="57">
        <v>0</v>
      </c>
      <c r="X11" s="57">
        <v>0</v>
      </c>
      <c r="Y11" s="56">
        <f>IFERROR(IF(R11="Vacio",0,IF(OR(R11="Full",S11="%"),Z11*AA11,IF(AND(S11="D",#REF!="Tm"),T11,IF(AND(S11="D",#REF!="LT"),T11*1.01605,IF(S11="V",Z11*AA11,0))))),"Error")</f>
        <v>1093.5725</v>
      </c>
      <c r="Z11" s="32">
        <f>IF(R11="Full",TTHH!C24,IF(R11="Vacio",0,IF(S11="%",TTHH!C24*T11/100,IF(AND(S11="V",#REF!="m3"),T11,IF(AND(S11="V",#REF!="ft3"),T11*0.028316,IF(S11="D",Y11*AA11,0))))))</f>
        <v>1066.9000000000001</v>
      </c>
      <c r="AA11" s="32">
        <f t="shared" si="0"/>
        <v>1.0249999999999999</v>
      </c>
      <c r="AB11" s="52" t="s">
        <v>68</v>
      </c>
      <c r="AC11" s="57" t="str">
        <v>Slack</v>
      </c>
      <c r="AD11" s="52" t="s">
        <v>352</v>
      </c>
      <c r="AE11" s="60">
        <v>60</v>
      </c>
      <c r="AF11" s="57" t="str">
        <v>Igual</v>
      </c>
      <c r="AG11" s="60">
        <v>0</v>
      </c>
      <c r="AH11" s="57">
        <v>0</v>
      </c>
      <c r="AI11" s="57">
        <v>0</v>
      </c>
      <c r="AJ11" s="56">
        <f>IFERROR(IF(AC11="Vacio",0,IF(OR(AC11="Full",AD11="%"),AK11*AL11,IF(AND(AD11="D",#REF!="Tm"),AE11,IF(AND(AD11="D",#REF!="LT"),AE11*1.01605,IF(AD11="V",AK11*AL11,0))))),"Error")</f>
        <v>23.976000000000003</v>
      </c>
      <c r="AK11" s="32">
        <f>IF(AC11="Full",TTHH!C83,IF(AC11="Vacio",0,IF(AD11="%",TTHH!C83*AE11/100,IF(AND(AD11="V",#REF!="m3"),AE11,IF(AND(AD11="V",#REF!="ft3"),AE11*0.028316,IF(AD11="D",AJ11*AL11,0))))))</f>
        <v>26.64</v>
      </c>
      <c r="AL11" s="32">
        <f t="shared" si="1"/>
        <v>0.9</v>
      </c>
      <c r="AM11" s="52" t="s">
        <v>570</v>
      </c>
      <c r="AN11" s="60">
        <v>0</v>
      </c>
      <c r="AO11" s="60">
        <v>0</v>
      </c>
      <c r="AP11" s="56">
        <f t="shared" si="2"/>
        <v>0</v>
      </c>
      <c r="AQ11" s="60">
        <v>0</v>
      </c>
      <c r="AR11" s="56">
        <f t="shared" si="3"/>
        <v>0</v>
      </c>
      <c r="AS11" s="60">
        <v>0</v>
      </c>
      <c r="AT11" s="56">
        <f t="shared" si="4"/>
        <v>0</v>
      </c>
    </row>
    <row r="12" spans="4:46" x14ac:dyDescent="0.3">
      <c r="E12" s="52" t="s">
        <v>10</v>
      </c>
      <c r="F12" s="53" t="str">
        <v>Vacio</v>
      </c>
      <c r="G12" s="53"/>
      <c r="H12" s="60">
        <v>0</v>
      </c>
      <c r="I12" s="57">
        <v>0</v>
      </c>
      <c r="J12" s="57">
        <v>0</v>
      </c>
      <c r="K12" s="60">
        <v>0</v>
      </c>
      <c r="L12" s="57">
        <v>0</v>
      </c>
      <c r="M12" s="57">
        <v>0</v>
      </c>
      <c r="N12" s="56">
        <f>IFERROR(IF(F12="Vacio",0,IF(OR(F12="Full",G12="%"),O12/P12,IF(AND(G12="D",I12="Tm"),H12,IF(AND(G12="D",I12="LT"),H12*1.01605,IF(G12="V",O12/P12,0))))),"Error")</f>
        <v>0</v>
      </c>
      <c r="O12" s="32">
        <f>IF(F12="Full",TTHH!BA10,IF(F12="Vacio",0,IF(G12="%",TTHH!C13*H12/100,IF(AND(G12="V",I12="m3"),H12,IF(AND(G12="V",I12="ft3"),H12*0.028316,IF(G12="D",N12*P12,0))))))</f>
        <v>0</v>
      </c>
      <c r="P12" s="32">
        <f>IF(OR(AND(L12="m3",M12="Tm"),AND(M12="m3",L12="Tm")), P13, IF(OR(AND(L12="m3",M12="LT"),AND(M12="m3",L12="LT")), P13/1.01605, IF(OR(AND(L12="ft3",M12="Tm"),AND(M12="ft3",L12="Tm")), P13*0.028316, IF(OR(AND(L12="ft3",M12="LT"),AND(M12="ft3",L12="LT")), P13*(0.028316/1.01605), 0))))</f>
        <v>0</v>
      </c>
      <c r="Q12" s="52" t="s">
        <v>26</v>
      </c>
      <c r="R12" s="57" t="str">
        <v>Full</v>
      </c>
      <c r="S12" s="52" t="s">
        <v>352</v>
      </c>
      <c r="T12" s="60">
        <v>0</v>
      </c>
      <c r="U12" s="57" t="str">
        <v>Igual</v>
      </c>
      <c r="V12" s="60">
        <v>0</v>
      </c>
      <c r="W12" s="57">
        <v>0</v>
      </c>
      <c r="X12" s="57">
        <v>0</v>
      </c>
      <c r="Y12" s="56">
        <f>IFERROR(IF(R12="Vacio",0,IF(OR(R12="Full",S12="%"),Z12*AA12,IF(AND(S12="D",#REF!="Tm"),T12,IF(AND(S12="D",#REF!="LT"),T12*1.01605,IF(S12="V",Z12*AA12,0))))),"Error")</f>
        <v>1093.5725</v>
      </c>
      <c r="Z12" s="32">
        <f>IF(R12="Full",TTHH!C25,IF(R12="Vacio",0,IF(S12="%",TTHH!C25*T12/100,IF(AND(S12="V",#REF!="m3"),T12,IF(AND(S12="V",#REF!="ft3"),T12*0.028316,IF(S12="D",Y12*AA12,0))))))</f>
        <v>1066.9000000000001</v>
      </c>
      <c r="AA12" s="32">
        <f t="shared" si="0"/>
        <v>1.0249999999999999</v>
      </c>
      <c r="AB12" s="52" t="s">
        <v>69</v>
      </c>
      <c r="AC12" s="57">
        <v>0</v>
      </c>
      <c r="AD12" s="52" t="s">
        <v>352</v>
      </c>
      <c r="AE12" s="60">
        <v>0</v>
      </c>
      <c r="AF12" s="57">
        <v>0</v>
      </c>
      <c r="AG12" s="60">
        <v>0</v>
      </c>
      <c r="AH12" s="57">
        <v>0</v>
      </c>
      <c r="AI12" s="57">
        <v>0</v>
      </c>
      <c r="AJ12" s="56">
        <f>IFERROR(IF(AC12="Vacio",0,IF(OR(AC12="Full",AD12="%"),AK12*AL12,IF(AND(AD12="D",#REF!="Tm"),AE12,IF(AND(AD12="D",#REF!="LT"),AE12*1.01605,IF(AD12="V",AK12*AL12,0))))),"Error")</f>
        <v>0</v>
      </c>
      <c r="AK12" s="32">
        <f>IF(AC12="Full",TTHH!C84,IF(AC12="Vacio",0,IF(AD12="%",TTHH!C84*AE12/100,IF(AND(AD12="V",#REF!="m3"),AE12,IF(AND(AD12="V",#REF!="ft3"),AE12*0.028316,IF(AD12="D",AJ12*AL12,0))))))</f>
        <v>0</v>
      </c>
      <c r="AL12" s="32">
        <f t="shared" si="1"/>
        <v>0</v>
      </c>
      <c r="AM12" s="52" t="s">
        <v>571</v>
      </c>
      <c r="AN12" s="60">
        <v>0</v>
      </c>
      <c r="AO12" s="60">
        <v>0</v>
      </c>
      <c r="AP12" s="56">
        <f t="shared" si="2"/>
        <v>0</v>
      </c>
      <c r="AQ12" s="60">
        <v>0</v>
      </c>
      <c r="AR12" s="56">
        <f t="shared" si="3"/>
        <v>0</v>
      </c>
      <c r="AS12" s="60">
        <v>0</v>
      </c>
      <c r="AT12" s="56">
        <f t="shared" si="4"/>
        <v>0</v>
      </c>
    </row>
    <row r="13" spans="4:46" x14ac:dyDescent="0.3">
      <c r="D13" s="29" t="s">
        <v>6</v>
      </c>
      <c r="E13" s="32">
        <f>IF(J8="Fe",K8,IF(J8="d",1/K8,0))</f>
        <v>0</v>
      </c>
      <c r="F13" s="29" t="s">
        <v>7</v>
      </c>
      <c r="H13" s="32">
        <f>IF(J9="Fe",K9,IF(J9="d",1/K9,0))</f>
        <v>0</v>
      </c>
      <c r="J13" s="29" t="s">
        <v>8</v>
      </c>
      <c r="K13" s="32">
        <f>IF(J10="Fe",K10,IF(J10="d",1/K10,0))</f>
        <v>0</v>
      </c>
      <c r="M13" s="29" t="s">
        <v>9</v>
      </c>
      <c r="N13" s="32">
        <f>IF(J11="Fe",K11,IF(J11="d",1/K11,0))</f>
        <v>0</v>
      </c>
      <c r="O13" s="29" t="s">
        <v>10</v>
      </c>
      <c r="P13" s="32">
        <f>IF(J12="Fe",K12,IF(J12="d",1/K12,0))</f>
        <v>0</v>
      </c>
      <c r="Q13" s="52" t="s">
        <v>22</v>
      </c>
      <c r="R13" s="57" t="str">
        <v>Full</v>
      </c>
      <c r="S13" s="52" t="s">
        <v>352</v>
      </c>
      <c r="T13" s="60">
        <v>0</v>
      </c>
      <c r="U13" s="57" t="str">
        <v>Igual</v>
      </c>
      <c r="V13" s="60">
        <v>0</v>
      </c>
      <c r="W13" s="57">
        <v>0</v>
      </c>
      <c r="X13" s="57">
        <v>0</v>
      </c>
      <c r="Y13" s="56">
        <f>IFERROR(IF(R13="Vacio",0,IF(OR(R13="Full",S13="%"),Z13*AA13,IF(AND(S13="D",#REF!="Tm"),T13,IF(AND(S13="D",#REF!="LT"),T13*1.01605,IF(S13="V",Z13*AA13,0))))),"Error")</f>
        <v>622.89250000000004</v>
      </c>
      <c r="Z13" s="32">
        <f>IF(R13="Full",TTHH!C26,IF(R13="Vacio",0,IF(S13="%",TTHH!C26*T13/100,IF(AND(S13="V",#REF!="m3"),T13,IF(AND(S13="V",#REF!="ft3"),T13*0.028316,IF(S13="D",Y13*AA13,0))))))</f>
        <v>607.70000000000005</v>
      </c>
      <c r="AA13" s="32">
        <f t="shared" si="0"/>
        <v>1.0249999999999999</v>
      </c>
      <c r="AB13" s="52" t="s">
        <v>70</v>
      </c>
      <c r="AC13" s="57">
        <v>0</v>
      </c>
      <c r="AD13" s="52" t="s">
        <v>352</v>
      </c>
      <c r="AE13" s="60">
        <v>0</v>
      </c>
      <c r="AF13" s="57">
        <v>0</v>
      </c>
      <c r="AG13" s="60">
        <v>0</v>
      </c>
      <c r="AH13" s="57">
        <v>0</v>
      </c>
      <c r="AI13" s="57">
        <v>0</v>
      </c>
      <c r="AJ13" s="56">
        <f>IFERROR(IF(AC13="Vacio",0,IF(OR(AC13="Full",AD13="%"),AK13*AL13,IF(AND(AD13="D",#REF!="Tm"),AE13,IF(AND(AD13="D",#REF!="LT"),AE13*1.01605,IF(AD13="V",AK13*AL13,0))))),"Error")</f>
        <v>0</v>
      </c>
      <c r="AK13" s="32">
        <f>IF(AC13="Full",TTHH!C85,IF(AC13="Vacio",0,IF(AD13="%",TTHH!C85*AE13/100,IF(AND(AD13="V",#REF!="m3"),AE13,IF(AND(AD13="V",#REF!="ft3"),AE13*0.028316,IF(AD13="D",AJ13*AL13,0))))))</f>
        <v>0</v>
      </c>
      <c r="AL13" s="32">
        <f t="shared" si="1"/>
        <v>0</v>
      </c>
      <c r="AM13" s="52" t="s">
        <v>572</v>
      </c>
      <c r="AN13" s="60">
        <v>0</v>
      </c>
      <c r="AO13" s="60">
        <v>0</v>
      </c>
      <c r="AP13" s="56">
        <f t="shared" si="2"/>
        <v>0</v>
      </c>
      <c r="AQ13" s="60">
        <v>0</v>
      </c>
      <c r="AR13" s="56">
        <f t="shared" si="3"/>
        <v>0</v>
      </c>
      <c r="AS13" s="60">
        <v>0</v>
      </c>
      <c r="AT13" s="56">
        <f t="shared" si="4"/>
        <v>0</v>
      </c>
    </row>
    <row r="14" spans="4:46" x14ac:dyDescent="0.3">
      <c r="Q14" s="52" t="s">
        <v>31</v>
      </c>
      <c r="R14" s="57" t="str">
        <v>Full</v>
      </c>
      <c r="S14" s="52" t="s">
        <v>352</v>
      </c>
      <c r="T14" s="60">
        <v>0</v>
      </c>
      <c r="U14" s="57" t="str">
        <v>Igual</v>
      </c>
      <c r="V14" s="60">
        <v>0</v>
      </c>
      <c r="W14" s="57">
        <v>0</v>
      </c>
      <c r="X14" s="57">
        <v>0</v>
      </c>
      <c r="Y14" s="56">
        <f>IFERROR(IF(R14="Vacio",0,IF(OR(R14="Full",S14="%"),Z14*AA14,IF(AND(S14="D",#REF!="Tm"),T14,IF(AND(S14="D",#REF!="LT"),T14*1.01605,IF(S14="V",Z14*AA14,0))))),"Error")</f>
        <v>622.89250000000004</v>
      </c>
      <c r="Z14" s="32">
        <f>IF(R14="Full",TTHH!C27,IF(R14="Vacio",0,IF(S14="%",TTHH!C27*T14/100,IF(AND(S14="V",#REF!="m3"),T14,IF(AND(S14="V",#REF!="ft3"),T14*0.028316,IF(S14="D",Y14*AA14,0))))))</f>
        <v>607.70000000000005</v>
      </c>
      <c r="AA14" s="32">
        <f t="shared" si="0"/>
        <v>1.0249999999999999</v>
      </c>
      <c r="AB14" s="52" t="s">
        <v>71</v>
      </c>
      <c r="AC14" s="57">
        <v>0</v>
      </c>
      <c r="AD14" s="52" t="s">
        <v>352</v>
      </c>
      <c r="AE14" s="60">
        <v>0</v>
      </c>
      <c r="AF14" s="57">
        <v>0</v>
      </c>
      <c r="AG14" s="60">
        <v>0</v>
      </c>
      <c r="AH14" s="57">
        <v>0</v>
      </c>
      <c r="AI14" s="57">
        <v>0</v>
      </c>
      <c r="AJ14" s="56">
        <f>IFERROR(IF(AC14="Vacio",0,IF(OR(AC14="Full",AD14="%"),AK14*AL14,IF(AND(AD14="D",#REF!="Tm"),AE14,IF(AND(AD14="D",#REF!="LT"),AE14*1.01605,IF(AD14="V",AK14*AL14,0))))),"Error")</f>
        <v>0</v>
      </c>
      <c r="AK14" s="32">
        <f>IF(AC14="Full",TTHH!C86,IF(AC14="Vacio",0,IF(AD14="%",TTHH!C86*AE14/100,IF(AND(AD14="V",#REF!="m3"),AE14,IF(AND(AD14="V",#REF!="ft3"),AE14*0.028316,IF(AD14="D",AJ14*AL14,0))))))</f>
        <v>0</v>
      </c>
      <c r="AL14" s="32">
        <f t="shared" si="1"/>
        <v>0</v>
      </c>
      <c r="AM14" s="52" t="s">
        <v>573</v>
      </c>
      <c r="AN14" s="60">
        <v>0</v>
      </c>
      <c r="AO14" s="60">
        <v>0</v>
      </c>
      <c r="AP14" s="56">
        <f t="shared" si="2"/>
        <v>0</v>
      </c>
      <c r="AQ14" s="60">
        <v>0</v>
      </c>
      <c r="AR14" s="56">
        <f t="shared" si="3"/>
        <v>0</v>
      </c>
      <c r="AS14" s="60">
        <v>0</v>
      </c>
      <c r="AT14" s="56">
        <f t="shared" si="4"/>
        <v>0</v>
      </c>
    </row>
    <row r="15" spans="4:46" x14ac:dyDescent="0.3">
      <c r="E15" s="54" t="s">
        <v>46</v>
      </c>
      <c r="F15" s="52" t="s">
        <v>362</v>
      </c>
      <c r="G15" s="52"/>
      <c r="H15" s="52" t="s">
        <v>352</v>
      </c>
      <c r="I15" s="52"/>
      <c r="J15" s="52" t="s">
        <v>359</v>
      </c>
      <c r="K15" s="60">
        <f>Interfaz!I19</f>
        <v>0.95</v>
      </c>
      <c r="L15" s="52" t="s">
        <v>356</v>
      </c>
      <c r="M15" s="52" t="s">
        <v>353</v>
      </c>
      <c r="N15" s="52" t="s">
        <v>470</v>
      </c>
      <c r="O15" s="29" t="s">
        <v>360</v>
      </c>
      <c r="P15" s="29" t="s">
        <v>359</v>
      </c>
      <c r="Q15" s="52" t="s">
        <v>24</v>
      </c>
      <c r="R15" s="57" t="str">
        <v>Full</v>
      </c>
      <c r="S15" s="52" t="s">
        <v>352</v>
      </c>
      <c r="T15" s="60">
        <v>0</v>
      </c>
      <c r="U15" s="57" t="str">
        <v>Igual</v>
      </c>
      <c r="V15" s="60">
        <v>0</v>
      </c>
      <c r="W15" s="57">
        <v>0</v>
      </c>
      <c r="X15" s="57">
        <v>0</v>
      </c>
      <c r="Y15" s="56">
        <f>IFERROR(IF(R15="Vacio",0,IF(OR(R15="Full",S15="%"),Z15*AA15,IF(AND(S15="D",#REF!="Tm"),T15,IF(AND(S15="D",#REF!="LT"),T15*1.01605,IF(S15="V",Z15*AA15,0))))),"Error")</f>
        <v>1033.7124999999999</v>
      </c>
      <c r="Z15" s="32">
        <f>IF(R15="Full",TTHH!C28,IF(R15="Vacio",0,IF(S15="%",TTHH!C28*T15/100,IF(AND(S15="V",#REF!="m3"),T15,IF(AND(S15="V",#REF!="ft3"),T15*0.028316,IF(S15="D",Y15*AA15,0))))))</f>
        <v>1008.5</v>
      </c>
      <c r="AA15" s="32">
        <f t="shared" si="0"/>
        <v>1.0249999999999999</v>
      </c>
      <c r="AB15" s="52" t="s">
        <v>72</v>
      </c>
      <c r="AC15" s="57" t="str">
        <v>Slack</v>
      </c>
      <c r="AD15" s="52" t="s">
        <v>352</v>
      </c>
      <c r="AE15" s="60">
        <v>40</v>
      </c>
      <c r="AF15" s="57" t="str">
        <v>Igual</v>
      </c>
      <c r="AG15" s="60">
        <v>0</v>
      </c>
      <c r="AH15" s="57">
        <v>0</v>
      </c>
      <c r="AI15" s="57">
        <v>0</v>
      </c>
      <c r="AJ15" s="56">
        <f>IFERROR(IF(AC15="Vacio",0,IF(OR(AC15="Full",AD15="%"),AK15*AL15,IF(AND(AD15="D",#REF!="Tm"),AE15,IF(AND(AD15="D",#REF!="LT"),AE15*1.01605,IF(AD15="V",AK15*AL15,0))))),"Error")</f>
        <v>0.72000000000000008</v>
      </c>
      <c r="AK15" s="32">
        <f>IF(AC15="Full",TTHH!C87,IF(AC15="Vacio",0,IF(AD15="%",TTHH!C87*AE15/100,IF(AND(AD15="V",#REF!="m3"),AE15,IF(AND(AD15="V",#REF!="ft3"),AE15*0.028316,IF(AD15="D",AJ15*AL15,0))))))</f>
        <v>0.8</v>
      </c>
      <c r="AL15" s="32">
        <f t="shared" si="1"/>
        <v>0.9</v>
      </c>
      <c r="AM15" s="52" t="s">
        <v>574</v>
      </c>
      <c r="AN15" s="60">
        <v>0</v>
      </c>
      <c r="AO15" s="60">
        <v>0</v>
      </c>
      <c r="AP15" s="56">
        <f t="shared" si="2"/>
        <v>0</v>
      </c>
      <c r="AQ15" s="60">
        <v>0</v>
      </c>
      <c r="AR15" s="56">
        <f t="shared" si="3"/>
        <v>0</v>
      </c>
      <c r="AS15" s="60">
        <v>0</v>
      </c>
      <c r="AT15" s="56">
        <f t="shared" si="4"/>
        <v>0</v>
      </c>
    </row>
    <row r="16" spans="4:46" x14ac:dyDescent="0.3">
      <c r="E16" s="52" t="s">
        <v>47</v>
      </c>
      <c r="F16" s="57" t="str" cm="1">
        <f t="array" ref="F16:F24">Interfaz!F20:F28</f>
        <v>Full</v>
      </c>
      <c r="G16" s="52" t="s">
        <v>352</v>
      </c>
      <c r="H16" s="60" cm="1">
        <f t="array" ref="H16:H24">Interfaz!G20:G28</f>
        <v>0</v>
      </c>
      <c r="I16" s="60"/>
      <c r="J16" s="58" t="str" cm="1">
        <f t="array" ref="J16:J24">Interfaz!H20:H28</f>
        <v>Igual</v>
      </c>
      <c r="K16" s="60" cm="1">
        <f t="array" ref="K16:K24">Interfaz!I20:I28</f>
        <v>0</v>
      </c>
      <c r="L16" s="57" cm="1">
        <f t="array" ref="L16:L24">Interfaz!J20:J28</f>
        <v>0</v>
      </c>
      <c r="M16" s="57" cm="1">
        <f t="array" ref="M16:M24">Interfaz!K20:K28</f>
        <v>0</v>
      </c>
      <c r="N16" s="56">
        <f t="shared" ref="N16:N24" si="5">IFERROR(IF(F16="Vacio",0,IF(OR(F16="Full",G16="%"),O16*P16,IF(AND(G16="D",I16="Tm"),H16,IF(AND(G16="D",I16="LT"),H16*1.01605,IF(G16="V",O16*P16,0))))),"Error")</f>
        <v>412.20499999999998</v>
      </c>
      <c r="O16" s="32">
        <f>IF(F16="Full",TTHH!$C$53,IF(F16="Vacio",0,IF(G16="%",TTHH!$C$53*H16/100,IF(AND(G16="V",I16="m3"),H16,IF(AND(G16="V",I16="ft3"),H16*0.028316,IF(G16="D",N16*P16,0))))))</f>
        <v>433.9</v>
      </c>
      <c r="P16" s="32">
        <f t="shared" ref="P16:P24" si="6">IF(F16="Vacio",0,IF(J16="Igual",$K$15,IF(AND(L16="Tm",M16="m3"),K16,IF(AND(L16="Tm",M16="ft3"),K16/0.028316,IF(AND(L16="LT",M16="m3"),K16*1.01605,IF(AND(L16="LT",M16="ft3"),K16*(1.01605/0.028316),0))))))</f>
        <v>0.95</v>
      </c>
      <c r="Q16" s="52" t="s">
        <v>32</v>
      </c>
      <c r="R16" s="57" t="str">
        <v>Full</v>
      </c>
      <c r="S16" s="52" t="s">
        <v>352</v>
      </c>
      <c r="T16" s="60">
        <v>0</v>
      </c>
      <c r="U16" s="57" t="str">
        <v>Igual</v>
      </c>
      <c r="V16" s="60">
        <v>0</v>
      </c>
      <c r="W16" s="57">
        <v>0</v>
      </c>
      <c r="X16" s="57">
        <v>0</v>
      </c>
      <c r="Y16" s="56">
        <f>IFERROR(IF(R16="Vacio",0,IF(OR(R16="Full",S16="%"),Z16*AA16,IF(AND(S16="D",#REF!="Tm"),T16,IF(AND(S16="D",#REF!="LT"),T16*1.01605,IF(S16="V",Z16*AA16,0))))),"Error")</f>
        <v>1033.7124999999999</v>
      </c>
      <c r="Z16" s="32">
        <f>IF(R16="Full",TTHH!C29,IF(R16="Vacio",0,IF(S16="%",TTHH!C29*T16/100,IF(AND(S16="V",#REF!="m3"),T16,IF(AND(S16="V",#REF!="ft3"),T16*0.028316,IF(S16="D",Y16*AA16,0))))))</f>
        <v>1008.5</v>
      </c>
      <c r="AA16" s="32">
        <f t="shared" si="0"/>
        <v>1.0249999999999999</v>
      </c>
      <c r="AB16" s="52" t="s">
        <v>73</v>
      </c>
      <c r="AC16" s="57" t="str">
        <v>Full</v>
      </c>
      <c r="AD16" s="52" t="s">
        <v>352</v>
      </c>
      <c r="AE16" s="60">
        <v>0</v>
      </c>
      <c r="AF16" s="57" t="str">
        <v>Igual</v>
      </c>
      <c r="AG16" s="60">
        <v>0</v>
      </c>
      <c r="AH16" s="57">
        <v>0</v>
      </c>
      <c r="AI16" s="57">
        <v>0</v>
      </c>
      <c r="AJ16" s="56">
        <f>IFERROR(IF(AC16="Vacio",0,IF(OR(AC16="Full",AD16="%"),AK16*AL16,IF(AND(AD16="D",#REF!="Tm"),AE16,IF(AND(AD16="D",#REF!="LT"),AE16*1.01605,IF(AD16="V",AK16*AL16,0))))),"Error")</f>
        <v>0.72000000000000008</v>
      </c>
      <c r="AK16" s="32">
        <f>IF(AC16="Full",TTHH!C88,IF(AC16="Vacio",0,IF(AD16="%",TTHH!C88*AE16/100,IF(AND(AD16="V",#REF!="m3"),AE16,IF(AND(AD16="V",#REF!="ft3"),AE16*0.028316,IF(AD16="D",AJ16*AL16,0))))))</f>
        <v>0.8</v>
      </c>
      <c r="AL16" s="32">
        <f t="shared" si="1"/>
        <v>0.9</v>
      </c>
      <c r="AM16" s="52" t="s">
        <v>575</v>
      </c>
      <c r="AN16" s="60">
        <v>0</v>
      </c>
      <c r="AO16" s="60">
        <v>0</v>
      </c>
      <c r="AP16" s="56">
        <f t="shared" si="2"/>
        <v>0</v>
      </c>
      <c r="AQ16" s="60">
        <v>0</v>
      </c>
      <c r="AR16" s="56">
        <f t="shared" si="3"/>
        <v>0</v>
      </c>
      <c r="AS16" s="60">
        <v>0</v>
      </c>
      <c r="AT16" s="56">
        <f t="shared" si="4"/>
        <v>0</v>
      </c>
    </row>
    <row r="17" spans="5:46" x14ac:dyDescent="0.3">
      <c r="E17" s="52" t="s">
        <v>48</v>
      </c>
      <c r="F17" s="57" t="str">
        <v>Full</v>
      </c>
      <c r="G17" s="52" t="s">
        <v>352</v>
      </c>
      <c r="H17" s="60">
        <v>0</v>
      </c>
      <c r="I17" s="60"/>
      <c r="J17" s="58" t="str">
        <v>Igual</v>
      </c>
      <c r="K17" s="60">
        <v>0</v>
      </c>
      <c r="L17" s="57">
        <v>0</v>
      </c>
      <c r="M17" s="57">
        <v>0</v>
      </c>
      <c r="N17" s="56">
        <f t="shared" si="5"/>
        <v>326.22999999999996</v>
      </c>
      <c r="O17" s="32">
        <f>IF(F17="Full",TTHH!$C$54,IF(F17="Vacio",0,IF(G17="%",TTHH!$C$54*H17/100,IF(AND(G17="V",I17="m3"),H17,IF(AND(G17="V",I17="ft3"),H17*0.028316,IF(G17="D",N17*P17,0))))))</f>
        <v>343.4</v>
      </c>
      <c r="P17" s="32">
        <f t="shared" si="6"/>
        <v>0.95</v>
      </c>
      <c r="Q17" s="52" t="s">
        <v>33</v>
      </c>
      <c r="R17" s="57" t="str">
        <v>Full</v>
      </c>
      <c r="S17" s="52" t="s">
        <v>352</v>
      </c>
      <c r="T17" s="60">
        <v>0</v>
      </c>
      <c r="U17" s="57" t="str">
        <v>Igual</v>
      </c>
      <c r="V17" s="60">
        <v>0</v>
      </c>
      <c r="W17" s="57">
        <v>0</v>
      </c>
      <c r="X17" s="57">
        <v>0</v>
      </c>
      <c r="Y17" s="56">
        <f>IFERROR(IF(R17="Vacio",0,IF(OR(R17="Full",S17="%"),Z17*AA17,IF(AND(S17="D",#REF!="Tm"),T17,IF(AND(S17="D",#REF!="LT"),T17*1.01605,IF(S17="V",Z17*AA17,0))))),"Error")</f>
        <v>622.89250000000004</v>
      </c>
      <c r="Z17" s="32">
        <f>IF(R17="Full",TTHH!C30,IF(R17="Vacio",0,IF(S17="%",TTHH!C30*T17/100,IF(AND(S17="V",#REF!="m3"),T17,IF(AND(S17="V",#REF!="ft3"),T17*0.028316,IF(S17="D",Y17*AA17,0))))))</f>
        <v>607.70000000000005</v>
      </c>
      <c r="AA17" s="32">
        <f t="shared" si="0"/>
        <v>1.0249999999999999</v>
      </c>
      <c r="AB17" s="52" t="s">
        <v>74</v>
      </c>
      <c r="AC17" s="57" t="str">
        <v>Full</v>
      </c>
      <c r="AD17" s="52" t="s">
        <v>352</v>
      </c>
      <c r="AE17" s="60">
        <v>0</v>
      </c>
      <c r="AF17" s="57" t="str">
        <v>Igual</v>
      </c>
      <c r="AG17" s="60">
        <v>0</v>
      </c>
      <c r="AH17" s="57">
        <v>0</v>
      </c>
      <c r="AI17" s="57">
        <v>0</v>
      </c>
      <c r="AJ17" s="56">
        <f>IFERROR(IF(AC17="Vacio",0,IF(OR(AC17="Full",AD17="%"),AK17*AL17,IF(AND(AD17="D",#REF!="Tm"),AE17,IF(AND(AD17="D",#REF!="LT"),AE17*1.01605,IF(AD17="V",AK17*AL17,0))))),"Error")</f>
        <v>0.72000000000000008</v>
      </c>
      <c r="AK17" s="32">
        <f>IF(AC17="Full",TTHH!C89,IF(AC17="Vacio",0,IF(AD17="%",TTHH!C89*AE17/100,IF(AND(AD17="V",#REF!="m3"),AE17,IF(AND(AD17="V",#REF!="ft3"),AE17*0.028316,IF(AD17="D",AJ17*AL17,0))))))</f>
        <v>0.8</v>
      </c>
      <c r="AL17" s="32">
        <f t="shared" si="1"/>
        <v>0.9</v>
      </c>
      <c r="AM17" s="52" t="s">
        <v>576</v>
      </c>
      <c r="AN17" s="60">
        <v>0</v>
      </c>
      <c r="AO17" s="60">
        <v>0</v>
      </c>
      <c r="AP17" s="56">
        <f t="shared" si="2"/>
        <v>0</v>
      </c>
      <c r="AQ17" s="60">
        <v>0</v>
      </c>
      <c r="AR17" s="56">
        <f t="shared" si="3"/>
        <v>0</v>
      </c>
      <c r="AS17" s="60">
        <v>0</v>
      </c>
      <c r="AT17" s="56">
        <f t="shared" si="4"/>
        <v>0</v>
      </c>
    </row>
    <row r="18" spans="5:46" x14ac:dyDescent="0.3">
      <c r="E18" s="52" t="s">
        <v>49</v>
      </c>
      <c r="F18" s="57" t="str">
        <v>Slack</v>
      </c>
      <c r="G18" s="52" t="s">
        <v>352</v>
      </c>
      <c r="H18" s="60">
        <v>70</v>
      </c>
      <c r="I18" s="60"/>
      <c r="J18" s="58" t="str">
        <v>Igual</v>
      </c>
      <c r="K18" s="60">
        <v>0</v>
      </c>
      <c r="L18" s="57">
        <v>0</v>
      </c>
      <c r="M18" s="57">
        <v>0</v>
      </c>
      <c r="N18" s="56">
        <f t="shared" si="5"/>
        <v>354.57799999999997</v>
      </c>
      <c r="O18" s="32">
        <f>IF(F18="Full",TTHH!$C$55,IF(F18="Vacio",0,IF(G18="%",TTHH!$C$55*H18/100,IF(AND(G18="V",I18="m3"),H18,IF(AND(G18="V",I18="ft3"),H18*0.028316,IF(G18="D",N18*P18,0))))))</f>
        <v>373.24</v>
      </c>
      <c r="P18" s="32">
        <f t="shared" si="6"/>
        <v>0.95</v>
      </c>
      <c r="Q18" s="52" t="s">
        <v>34</v>
      </c>
      <c r="R18" s="57" t="str">
        <v>Full</v>
      </c>
      <c r="S18" s="52" t="s">
        <v>352</v>
      </c>
      <c r="T18" s="60">
        <v>0</v>
      </c>
      <c r="U18" s="57" t="str">
        <v>Igual</v>
      </c>
      <c r="V18" s="60">
        <v>0</v>
      </c>
      <c r="W18" s="57">
        <v>0</v>
      </c>
      <c r="X18" s="57">
        <v>0</v>
      </c>
      <c r="Y18" s="56">
        <f>IFERROR(IF(R18="Vacio",0,IF(OR(R18="Full",S18="%"),Z18*AA18,IF(AND(S18="D",#REF!="Tm"),T18,IF(AND(S18="D",#REF!="LT"),T18*1.01605,IF(S18="V",Z18*AA18,0))))),"Error")</f>
        <v>622.89250000000004</v>
      </c>
      <c r="Z18" s="32">
        <f>IF(R18="Full",TTHH!C31,IF(R18="Vacio",0,IF(S18="%",TTHH!C31*T18/100,IF(AND(S18="V",#REF!="m3"),T18,IF(AND(S18="V",#REF!="ft3"),T18*0.028316,IF(S18="D",Y18*AA18,0))))))</f>
        <v>607.70000000000005</v>
      </c>
      <c r="AA18" s="32">
        <f t="shared" si="0"/>
        <v>1.0249999999999999</v>
      </c>
      <c r="AM18" s="18"/>
      <c r="AN18" s="52" t="s">
        <v>3</v>
      </c>
      <c r="AO18" s="52" t="s">
        <v>17</v>
      </c>
      <c r="AP18" s="52" t="s">
        <v>382</v>
      </c>
      <c r="AQ18" s="52" t="s">
        <v>15</v>
      </c>
      <c r="AR18" s="52" t="s">
        <v>383</v>
      </c>
      <c r="AS18" s="52" t="s">
        <v>16</v>
      </c>
      <c r="AT18" s="52" t="s">
        <v>384</v>
      </c>
    </row>
    <row r="19" spans="5:46" x14ac:dyDescent="0.3">
      <c r="E19" s="52" t="s">
        <v>50</v>
      </c>
      <c r="F19" s="57">
        <v>0</v>
      </c>
      <c r="G19" s="52" t="s">
        <v>352</v>
      </c>
      <c r="H19" s="60">
        <v>0</v>
      </c>
      <c r="I19" s="60"/>
      <c r="J19" s="58">
        <v>0</v>
      </c>
      <c r="K19" s="60">
        <v>0</v>
      </c>
      <c r="L19" s="57">
        <v>0</v>
      </c>
      <c r="M19" s="57">
        <v>0</v>
      </c>
      <c r="N19" s="56">
        <f t="shared" si="5"/>
        <v>0</v>
      </c>
      <c r="O19" s="32">
        <f>IF(F19="Full",TTHH!$C$56,IF(F19="Vacio",0,IF(G19="%",TTHH!C56*H19/100,IF(AND(G19="V",I19="m3"),H19,IF(AND(G19="V",I19="ft3"),H19*0.028316,IF(G19="D",N19*P19,0))))))</f>
        <v>0</v>
      </c>
      <c r="P19" s="32">
        <f t="shared" si="6"/>
        <v>0</v>
      </c>
      <c r="Q19" s="52" t="s">
        <v>35</v>
      </c>
      <c r="R19" s="57" t="str">
        <v>Full</v>
      </c>
      <c r="S19" s="52" t="s">
        <v>352</v>
      </c>
      <c r="T19" s="60">
        <v>0</v>
      </c>
      <c r="U19" s="57" t="str">
        <v>Igual</v>
      </c>
      <c r="V19" s="60">
        <v>0</v>
      </c>
      <c r="W19" s="57">
        <v>0</v>
      </c>
      <c r="X19" s="57">
        <v>0</v>
      </c>
      <c r="Y19" s="56">
        <f>IFERROR(IF(R19="Vacio",0,IF(OR(R19="Full",S19="%"),Z19*AA19,IF(AND(S19="D",#REF!="Tm"),T19,IF(AND(S19="D",#REF!="LT"),T19*1.01605,IF(S19="V",Z19*AA19,0))))),"Error")</f>
        <v>1035.0449999999998</v>
      </c>
      <c r="Z19" s="32">
        <f>IF(R19="Full",TTHH!C32,IF(R19="Vacio",0,IF(S19="%",TTHH!C32*T19/100,IF(AND(S19="V",#REF!="m3"),T19,IF(AND(S19="V",#REF!="ft3"),T19*0.028316,IF(S19="D",Y19*AA19,0))))))</f>
        <v>1009.8</v>
      </c>
      <c r="AA19" s="32">
        <f t="shared" si="0"/>
        <v>1.0249999999999999</v>
      </c>
      <c r="AB19" s="54" t="s">
        <v>75</v>
      </c>
      <c r="AC19" s="52" t="s">
        <v>362</v>
      </c>
      <c r="AD19" s="52"/>
      <c r="AE19" s="52" t="s">
        <v>352</v>
      </c>
      <c r="AF19" s="52" t="s">
        <v>359</v>
      </c>
      <c r="AG19" s="60">
        <f>Interfaz!I79</f>
        <v>1</v>
      </c>
      <c r="AH19" s="52" t="s">
        <v>356</v>
      </c>
      <c r="AI19" s="52" t="s">
        <v>353</v>
      </c>
      <c r="AJ19" s="52" t="s">
        <v>470</v>
      </c>
      <c r="AK19" s="29" t="s">
        <v>360</v>
      </c>
      <c r="AL19" s="29" t="s">
        <v>359</v>
      </c>
      <c r="AM19" s="52" t="s">
        <v>461</v>
      </c>
      <c r="AN19" s="56">
        <f>SUM(AN8:AN17)</f>
        <v>21</v>
      </c>
      <c r="AO19" s="56">
        <f>IFERROR(AP19/AN19,0)</f>
        <v>16.428571428571427</v>
      </c>
      <c r="AP19" s="56">
        <f>SUM(AP8:AP17)</f>
        <v>345</v>
      </c>
      <c r="AQ19" s="56">
        <f>IFERROR(AR19/AN19,0)</f>
        <v>65.714285714285708</v>
      </c>
      <c r="AR19" s="56">
        <f>SUM(AR8:AR17)</f>
        <v>1380</v>
      </c>
      <c r="AS19" s="56">
        <f>IFERROR(AT19/AN19,0)</f>
        <v>7.1428571428571432</v>
      </c>
      <c r="AT19" s="56">
        <f>SUM(AT8:AT17)</f>
        <v>150</v>
      </c>
    </row>
    <row r="20" spans="5:46" x14ac:dyDescent="0.3">
      <c r="E20" s="52" t="s">
        <v>51</v>
      </c>
      <c r="F20" s="57" t="str">
        <v>Full</v>
      </c>
      <c r="G20" s="52" t="s">
        <v>352</v>
      </c>
      <c r="H20" s="60">
        <v>0</v>
      </c>
      <c r="I20" s="60"/>
      <c r="J20" s="58" t="str">
        <v>Igual</v>
      </c>
      <c r="K20" s="60">
        <v>0</v>
      </c>
      <c r="L20" s="57">
        <v>0</v>
      </c>
      <c r="M20" s="57">
        <v>0</v>
      </c>
      <c r="N20" s="56">
        <f t="shared" si="5"/>
        <v>42.94</v>
      </c>
      <c r="O20" s="32">
        <f>IF(F20="Full",TTHH!C57,IF(F20="Vacio",0,IF(G20="%",TTHH!C57*H20/100,IF(AND(G20="V",I20="m3"),H20,IF(AND(G20="V",I20="ft3"),H20*0.028316,IF(G20="D",N20*P20,0))))))</f>
        <v>45.2</v>
      </c>
      <c r="P20" s="32">
        <f t="shared" si="6"/>
        <v>0.95</v>
      </c>
      <c r="Q20" s="52" t="s">
        <v>36</v>
      </c>
      <c r="R20" s="57" t="str">
        <v>Full</v>
      </c>
      <c r="S20" s="52" t="s">
        <v>352</v>
      </c>
      <c r="T20" s="60">
        <v>0</v>
      </c>
      <c r="U20" s="57" t="str">
        <v>Igual</v>
      </c>
      <c r="V20" s="60">
        <v>0</v>
      </c>
      <c r="W20" s="57">
        <v>0</v>
      </c>
      <c r="X20" s="57">
        <v>0</v>
      </c>
      <c r="Y20" s="56">
        <f>IFERROR(IF(R20="Vacio",0,IF(OR(R20="Full",S20="%"),Z20*AA20,IF(AND(S20="D",#REF!="Tm"),T20,IF(AND(S20="D",#REF!="LT"),T20*1.01605,IF(S20="V",Z20*AA20,0))))),"Error")</f>
        <v>1035.0449999999998</v>
      </c>
      <c r="Z20" s="32">
        <f>IF(R20="Full",TTHH!C33,IF(R20="Vacio",0,IF(S20="%",TTHH!C33*T20/100,IF(AND(S20="V",#REF!="m3"),T20,IF(AND(S20="V",#REF!="ft3"),T20*0.028316,IF(S20="D",Y20*AA20,0))))))</f>
        <v>1009.8</v>
      </c>
      <c r="AA20" s="32">
        <f t="shared" si="0"/>
        <v>1.0249999999999999</v>
      </c>
      <c r="AB20" s="52" t="s">
        <v>76</v>
      </c>
      <c r="AC20" s="57" t="str" cm="1">
        <f t="array" ref="AC20:AC21">Interfaz!F80:F81</f>
        <v>Slack</v>
      </c>
      <c r="AD20" s="52" t="s">
        <v>352</v>
      </c>
      <c r="AE20" s="60" cm="1">
        <f t="array" ref="AE20:AE21">Interfaz!G80:G81</f>
        <v>60</v>
      </c>
      <c r="AF20" s="57" t="str" cm="1">
        <f t="array" ref="AF20:AF21">Interfaz!H80:H81</f>
        <v>Igual</v>
      </c>
      <c r="AG20" s="60" cm="1">
        <f t="array" ref="AG20:AG21">Interfaz!I80:I81</f>
        <v>0</v>
      </c>
      <c r="AH20" s="57" cm="1">
        <f t="array" ref="AH20:AH21">Interfaz!J80:J81</f>
        <v>0</v>
      </c>
      <c r="AI20" s="57" cm="1">
        <f t="array" ref="AI20:AI21">Interfaz!K80:K81</f>
        <v>0</v>
      </c>
      <c r="AJ20" s="56">
        <f>IFERROR(IF(AC20="Vacio",0,IF(OR(AC20="Full",AD20="%"),AK20*AL20,IF(AND(AD20="D",#REF!="Tm"),AE20,IF(AND(AD20="D",#REF!="LT"),AE20*1.01605,IF(AD20="V",AK20*AL20,0))))),"Error")</f>
        <v>71.7</v>
      </c>
      <c r="AK20" s="32">
        <f>IF(AC20="Full",TTHH!C97,IF(AC20="Vacio",0,IF(AD20="%",TTHH!C97*AE20/100,IF(AND(AD20="V",#REF!="m3"),AE20,IF(AND(AD20="V",#REF!="ft3"),AE20*0.028316,IF(AD20="D",AJ20*AL20,0))))))</f>
        <v>71.7</v>
      </c>
      <c r="AL20" s="32">
        <f>IF(AC20="Vacio",0,IF(AF20="Igual",$AG$19,IF(AND(AH20="Tm",AI20="m3"),AG20,IF(AND(AH20="Tm",AI20="ft3"),AG20/0.028316,IF(AND(AH20="LT",AI20="m3"),AG20*1.01605,IF(AND(AH20="LT",AI20="ft3"),AG20*(1.01605/0.028316),0))))))</f>
        <v>1</v>
      </c>
    </row>
    <row r="21" spans="5:46" x14ac:dyDescent="0.3">
      <c r="E21" s="52" t="s">
        <v>52</v>
      </c>
      <c r="F21" s="57">
        <v>0</v>
      </c>
      <c r="G21" s="52" t="s">
        <v>352</v>
      </c>
      <c r="H21" s="60">
        <v>0</v>
      </c>
      <c r="I21" s="60"/>
      <c r="J21" s="58">
        <v>0</v>
      </c>
      <c r="K21" s="60">
        <v>0</v>
      </c>
      <c r="L21" s="57">
        <v>0</v>
      </c>
      <c r="M21" s="57">
        <v>0</v>
      </c>
      <c r="N21" s="56">
        <f t="shared" si="5"/>
        <v>0</v>
      </c>
      <c r="O21" s="32">
        <f>IF(F21="Full",TTHH!C58,IF(F21="Vacio",0,IF(G21="%",TTHH!C58*H21/100,IF(AND(G21="V",I21="m3"),H21,IF(AND(G21="V",I21="ft3"),H21*0.028316,IF(G21="D",N21*P21,0))))))</f>
        <v>0</v>
      </c>
      <c r="P21" s="32">
        <f t="shared" si="6"/>
        <v>0</v>
      </c>
      <c r="Q21" s="52" t="s">
        <v>37</v>
      </c>
      <c r="R21" s="57" t="str">
        <v>Full</v>
      </c>
      <c r="S21" s="52" t="s">
        <v>352</v>
      </c>
      <c r="T21" s="60">
        <v>0</v>
      </c>
      <c r="U21" s="57" t="str">
        <v>Igual</v>
      </c>
      <c r="V21" s="60">
        <v>0</v>
      </c>
      <c r="W21" s="57">
        <v>0</v>
      </c>
      <c r="X21" s="57">
        <v>0</v>
      </c>
      <c r="Y21" s="56">
        <f>IFERROR(IF(R21="Vacio",0,IF(OR(R21="Full",S21="%"),Z21*AA21,IF(AND(S21="D",#REF!="Tm"),T21,IF(AND(S21="D",#REF!="LT"),T21*1.01605,IF(S21="V",Z21*AA21,0))))),"Error")</f>
        <v>622.89250000000004</v>
      </c>
      <c r="Z21" s="32">
        <f>IF(R21="Full",TTHH!C34,IF(R21="Vacio",0,IF(S21="%",TTHH!C34*T21/100,IF(AND(S21="V",#REF!="m3"),T21,IF(AND(S21="V",#REF!="ft3"),T21*0.028316,IF(S21="D",Y21*AA21,0))))))</f>
        <v>607.70000000000005</v>
      </c>
      <c r="AA21" s="32">
        <f t="shared" si="0"/>
        <v>1.0249999999999999</v>
      </c>
      <c r="AB21" s="52" t="s">
        <v>77</v>
      </c>
      <c r="AC21" s="57">
        <v>0</v>
      </c>
      <c r="AD21" s="52" t="s">
        <v>352</v>
      </c>
      <c r="AE21" s="60">
        <v>0</v>
      </c>
      <c r="AF21" s="57">
        <v>0</v>
      </c>
      <c r="AG21" s="60">
        <v>0</v>
      </c>
      <c r="AH21" s="57">
        <v>0</v>
      </c>
      <c r="AI21" s="57">
        <v>0</v>
      </c>
      <c r="AJ21" s="56">
        <f>IFERROR(IF(AC21="Vacio",0,IF(OR(AC21="Full",AD21="%"),AK21*AL21,IF(AND(AD21="D",#REF!="Tm"),AE21,IF(AND(AD21="D",#REF!="LT"),AE21*1.01605,IF(AD21="V",AK21*AL21,0))))),"Error")</f>
        <v>0</v>
      </c>
      <c r="AK21" s="32">
        <f>IF(AC21="Full",TTHH!C98,IF(AC21="Vacio",0,IF(AD21="%",TTHH!C98*AE21/100,IF(AND(AD21="V",#REF!="m3"),AE21,IF(AND(AD21="V",#REF!="ft3"),AE21*0.028316,IF(AD21="D",AJ21*AL21,0))))))</f>
        <v>0</v>
      </c>
      <c r="AL21" s="32">
        <f>IF(AC21="Vacio",0,IF(AF21="Igual",$AG$19,IF(AND(AH21="Tm",AI21="m3"),AG21,IF(AND(AH21="Tm",AI21="ft3"),AG21/0.028316,IF(AND(AH21="LT",AI21="m3"),AG21*1.01605,IF(AND(AH21="LT",AI21="ft3"),AG21*(1.01605/0.028316),0))))))</f>
        <v>0</v>
      </c>
    </row>
    <row r="22" spans="5:46" x14ac:dyDescent="0.3">
      <c r="E22" s="52" t="s">
        <v>53</v>
      </c>
      <c r="F22" s="57" t="str">
        <v>Full</v>
      </c>
      <c r="G22" s="52" t="s">
        <v>352</v>
      </c>
      <c r="H22" s="60">
        <v>0</v>
      </c>
      <c r="I22" s="60"/>
      <c r="J22" s="58" t="str">
        <v>Igual</v>
      </c>
      <c r="K22" s="60">
        <v>0</v>
      </c>
      <c r="L22" s="57">
        <v>0</v>
      </c>
      <c r="M22" s="57">
        <v>0</v>
      </c>
      <c r="N22" s="56">
        <f t="shared" si="5"/>
        <v>42.94</v>
      </c>
      <c r="O22" s="32">
        <f>IF(F22="Full",TTHH!C59,IF(F22="Vacio",0,IF(G22="%",TTHH!C59*H22/100,IF(AND(G22="V",I22="m3"),H22,IF(AND(G22="V",I22="ft3"),H22*0.028316,IF(G22="D",N22*P22,0))))))</f>
        <v>45.2</v>
      </c>
      <c r="P22" s="32">
        <f t="shared" si="6"/>
        <v>0.95</v>
      </c>
      <c r="Q22" s="52" t="s">
        <v>38</v>
      </c>
      <c r="R22" s="57" t="str">
        <v>Full</v>
      </c>
      <c r="S22" s="52" t="s">
        <v>352</v>
      </c>
      <c r="T22" s="60">
        <v>0</v>
      </c>
      <c r="U22" s="57" t="str">
        <v>Igual</v>
      </c>
      <c r="V22" s="60">
        <v>0</v>
      </c>
      <c r="W22" s="57">
        <v>0</v>
      </c>
      <c r="X22" s="57">
        <v>0</v>
      </c>
      <c r="Y22" s="56">
        <f>IFERROR(IF(R22="Vacio",0,IF(OR(R22="Full",S22="%"),Z22*AA22,IF(AND(S22="D",#REF!="Tm"),T22,IF(AND(S22="D",#REF!="LT"),T22*1.01605,IF(S22="V",Z22*AA22,0))))),"Error")</f>
        <v>622.89250000000004</v>
      </c>
      <c r="Z22" s="32">
        <f>IF(R22="Full",TTHH!C35,IF(R22="Vacio",0,IF(S22="%",TTHH!C35*T22/100,IF(AND(S22="V",#REF!="m3"),T22,IF(AND(S22="V",#REF!="ft3"),T22*0.028316,IF(S22="D",Y22*AA22,0))))))</f>
        <v>607.70000000000005</v>
      </c>
      <c r="AA22" s="32">
        <f t="shared" si="0"/>
        <v>1.0249999999999999</v>
      </c>
    </row>
    <row r="23" spans="5:46" x14ac:dyDescent="0.3">
      <c r="E23" s="52" t="s">
        <v>54</v>
      </c>
      <c r="F23" s="57" t="str">
        <v>Slack</v>
      </c>
      <c r="G23" s="52" t="s">
        <v>352</v>
      </c>
      <c r="H23" s="60">
        <v>20</v>
      </c>
      <c r="I23" s="60"/>
      <c r="J23" s="58" t="str">
        <v>Igual</v>
      </c>
      <c r="K23" s="60">
        <v>0</v>
      </c>
      <c r="L23" s="57">
        <v>0</v>
      </c>
      <c r="M23" s="57">
        <v>0</v>
      </c>
      <c r="N23" s="56">
        <f t="shared" si="5"/>
        <v>8.5879999999999992</v>
      </c>
      <c r="O23" s="32">
        <f>IF(F23="Full",TTHH!C60,IF(F23="Vacio",0,IF(G23="%",TTHH!C60*H23/100,IF(AND(G23="V",I23="m3"),H23,IF(AND(G23="V",I23="ft3"),H23*0.028316,IF(G23="D",N23*P23,0))))))</f>
        <v>9.0399999999999991</v>
      </c>
      <c r="P23" s="32">
        <f t="shared" si="6"/>
        <v>0.95</v>
      </c>
      <c r="Q23" s="52" t="s">
        <v>39</v>
      </c>
      <c r="R23" s="57">
        <v>0</v>
      </c>
      <c r="S23" s="52" t="s">
        <v>352</v>
      </c>
      <c r="T23" s="60">
        <v>0</v>
      </c>
      <c r="U23" s="57">
        <v>0</v>
      </c>
      <c r="V23" s="60">
        <v>0</v>
      </c>
      <c r="W23" s="57">
        <v>0</v>
      </c>
      <c r="X23" s="57">
        <v>0</v>
      </c>
      <c r="Y23" s="56">
        <f>IFERROR(IF(R23="Vacio",0,IF(OR(R23="Full",S23="%"),Z23*AA23,IF(AND(S23="D",#REF!="Tm"),T23,IF(AND(S23="D",#REF!="LT"),T23*1.01605,IF(S23="V",Z23*AA23,0))))),"Error")</f>
        <v>0</v>
      </c>
      <c r="Z23" s="32">
        <f>IF(R23="Full",TTHH!C36,IF(R23="Vacio",0,IF(S23="%",TTHH!C36*T23/100,IF(AND(S23="V",#REF!="m3"),T23,IF(AND(S23="V",#REF!="ft3"),T23*0.028316,IF(S23="D",Y23*AA23,0))))))</f>
        <v>0</v>
      </c>
      <c r="AA23" s="32">
        <f t="shared" si="0"/>
        <v>0</v>
      </c>
      <c r="AB23" s="54" t="s">
        <v>79</v>
      </c>
      <c r="AC23" s="52" t="s">
        <v>362</v>
      </c>
      <c r="AD23" s="52"/>
      <c r="AE23" s="52" t="s">
        <v>352</v>
      </c>
      <c r="AF23" s="52" t="s">
        <v>359</v>
      </c>
      <c r="AG23" s="60">
        <f>Interfaz!I84</f>
        <v>0.9</v>
      </c>
      <c r="AH23" s="52" t="s">
        <v>356</v>
      </c>
      <c r="AI23" s="52" t="s">
        <v>353</v>
      </c>
      <c r="AJ23" s="52" t="s">
        <v>470</v>
      </c>
      <c r="AK23" s="29" t="s">
        <v>360</v>
      </c>
      <c r="AL23" s="29" t="s">
        <v>359</v>
      </c>
    </row>
    <row r="24" spans="5:46" x14ac:dyDescent="0.3">
      <c r="E24" s="52" t="s">
        <v>55</v>
      </c>
      <c r="F24" s="57" t="str">
        <v>Slack</v>
      </c>
      <c r="G24" s="52" t="s">
        <v>352</v>
      </c>
      <c r="H24" s="60">
        <v>12</v>
      </c>
      <c r="I24" s="60"/>
      <c r="J24" s="58" t="str">
        <v>Igual</v>
      </c>
      <c r="K24" s="60">
        <v>0</v>
      </c>
      <c r="L24" s="57">
        <v>0</v>
      </c>
      <c r="M24" s="57">
        <v>0</v>
      </c>
      <c r="N24" s="56">
        <f t="shared" si="5"/>
        <v>4.3890000000000002</v>
      </c>
      <c r="O24" s="32">
        <f>IF(F24="Full",TTHH!C61,IF(F24="Vacio",0,IF(G24="%",TTHH!C61*H24/100,IF(AND(G24="V",I24="m3"),H24,IF(AND(G24="V",I24="ft3"),H24*0.028316,IF(G24="D",N24*P24,0))))))</f>
        <v>4.62</v>
      </c>
      <c r="P24" s="32">
        <f t="shared" si="6"/>
        <v>0.95</v>
      </c>
      <c r="Q24" s="52" t="s">
        <v>40</v>
      </c>
      <c r="R24" s="57" t="str">
        <v>Slack</v>
      </c>
      <c r="S24" s="52" t="s">
        <v>352</v>
      </c>
      <c r="T24" s="60">
        <v>21</v>
      </c>
      <c r="U24" s="57" t="str">
        <v>Igual</v>
      </c>
      <c r="V24" s="60">
        <v>0</v>
      </c>
      <c r="W24" s="57">
        <v>0</v>
      </c>
      <c r="X24" s="57">
        <v>0</v>
      </c>
      <c r="Y24" s="56">
        <f>IFERROR(IF(R24="Vacio",0,IF(OR(R24="Full",S24="%"),Z24*AA24,IF(AND(S24="D",#REF!="Tm"),T24,IF(AND(S24="D",#REF!="LT"),T24*1.01605,IF(S24="V",Z24*AA24,0))))),"Error")</f>
        <v>214.841025</v>
      </c>
      <c r="Z24" s="32">
        <f>IF(R24="Full",TTHH!C37,IF(R24="Vacio",0,IF(S24="%",TTHH!C37*T24/100,IF(AND(S24="V",#REF!="m3"),T24,IF(AND(S24="V",#REF!="ft3"),T24*0.028316,IF(S24="D",Y24*AA24,0))))))</f>
        <v>209.60100000000003</v>
      </c>
      <c r="AA24" s="32">
        <f t="shared" si="0"/>
        <v>1.0249999999999999</v>
      </c>
      <c r="AB24" s="52" t="s">
        <v>80</v>
      </c>
      <c r="AC24" s="57" t="str" cm="1">
        <f t="array" ref="AC24:AC26">Interfaz!F85:F87</f>
        <v>Slack</v>
      </c>
      <c r="AD24" s="52" t="s">
        <v>352</v>
      </c>
      <c r="AE24" s="60" cm="1">
        <f t="array" ref="AE24:AE26">Interfaz!G85:G87</f>
        <v>20</v>
      </c>
      <c r="AF24" s="57" t="str" cm="1">
        <f t="array" ref="AF24:AF26">Interfaz!H85:H87</f>
        <v>Igual</v>
      </c>
      <c r="AG24" s="60" cm="1">
        <f t="array" ref="AG24:AG26">Interfaz!I85:I87</f>
        <v>0</v>
      </c>
      <c r="AH24" s="57" cm="1">
        <f t="array" ref="AH24:AH26">Interfaz!J85:J87</f>
        <v>0</v>
      </c>
      <c r="AI24" s="57" cm="1">
        <f t="array" ref="AI24:AI26">Interfaz!K85:K87</f>
        <v>0</v>
      </c>
      <c r="AJ24" s="56">
        <f>IFERROR(IF(AC24="Vacio",0,IF(OR(AC24="Full",AD24="%"),AK24*AL24,IF(AND(AD24="D",#REF!="Tm"),AE24,IF(AND(AD24="D",#REF!="LT"),AE24*1.01605,IF(AD24="V",AK24*AL24,0))))),"Error")</f>
        <v>0.88200000000000001</v>
      </c>
      <c r="AK24" s="32">
        <f>IF(AC24="Full",TTHH!C106,IF(AC24="Vacio",0,IF(AD24="%",TTHH!C106*AE24/100,IF(AND(AD24="V",#REF!="m3"),AE24,IF(AND(AD24="V",#REF!="ft3"),AE24*0.028316,IF(AD24="D",AJ24*AL24,0))))))</f>
        <v>0.98</v>
      </c>
      <c r="AL24" s="32">
        <f>IF(AC24="Vacio",0,IF(AF24="Igual",$AG$23,IF(AND(AH24="Tm",AI24="m3"),AG24,IF(AND(AH24="Tm",AI24="ft3"),AG24/0.028316,IF(AND(AH24="LT",AI24="m3"),AG24*1.01605,IF(AND(AH24="LT",AI24="ft3"),AG24*(1.01605/0.028316),0))))))</f>
        <v>0.9</v>
      </c>
    </row>
    <row r="25" spans="5:46" x14ac:dyDescent="0.3">
      <c r="Q25" s="52" t="s">
        <v>41</v>
      </c>
      <c r="R25" s="57" t="str">
        <v>Full</v>
      </c>
      <c r="S25" s="52" t="s">
        <v>352</v>
      </c>
      <c r="T25" s="60">
        <v>0</v>
      </c>
      <c r="U25" s="57" t="str">
        <v>Igual</v>
      </c>
      <c r="V25" s="60">
        <v>0</v>
      </c>
      <c r="W25" s="57">
        <v>0</v>
      </c>
      <c r="X25" s="57">
        <v>0</v>
      </c>
      <c r="Y25" s="56">
        <f>IFERROR(IF(R25="Vacio",0,IF(OR(R25="Full",S25="%"),Z25*AA25,IF(AND(S25="D",#REF!="Tm"),T25,IF(AND(S25="D",#REF!="LT"),T25*1.01605,IF(S25="V",Z25*AA25,0))))),"Error")</f>
        <v>445.97749999999996</v>
      </c>
      <c r="Z25" s="32">
        <f>IF(R25="Full",TTHH!C38,IF(R25="Vacio",0,IF(S25="%",TTHH!C38*T25/100,IF(AND(S25="V",#REF!="m3"),T25,IF(AND(S25="V",#REF!="ft3"),T25*0.028316,IF(S25="D",Y25*AA25,0))))))</f>
        <v>435.1</v>
      </c>
      <c r="AA25" s="32">
        <f t="shared" si="0"/>
        <v>1.0249999999999999</v>
      </c>
      <c r="AB25" s="52" t="s">
        <v>81</v>
      </c>
      <c r="AC25" s="57" t="str">
        <v>Slack</v>
      </c>
      <c r="AD25" s="52" t="s">
        <v>352</v>
      </c>
      <c r="AE25" s="60">
        <v>30</v>
      </c>
      <c r="AF25" s="57" t="str">
        <v>Igual</v>
      </c>
      <c r="AG25" s="60">
        <v>0</v>
      </c>
      <c r="AH25" s="57">
        <v>0</v>
      </c>
      <c r="AI25" s="57">
        <v>0</v>
      </c>
      <c r="AJ25" s="56">
        <f>IFERROR(IF(AC25="Vacio",0,IF(OR(AC25="Full",AD25="%"),AK25*AL25,IF(AND(AD25="D",#REF!="Tm"),AE25,IF(AND(AD25="D",#REF!="LT"),AE25*1.01605,IF(AD25="V",AK25*AL25,0))))),"Error")</f>
        <v>2.4569999999999999</v>
      </c>
      <c r="AK25" s="32">
        <f>IF(AC25="Full",TTHH!C107,IF(AC25="Vacio",0,IF(AD25="%",TTHH!C107*AE25/100,IF(AND(AD25="V",#REF!="m3"),AE25,IF(AND(AD25="V",#REF!="ft3"),AE25*0.028316,IF(AD25="D",AJ25*AL25,0))))))</f>
        <v>2.73</v>
      </c>
      <c r="AL25" s="32">
        <f>IF(AC25="Vacio",0,IF(AF25="Igual",$AG$23,IF(AND(AH25="Tm",AI25="m3"),AG25,IF(AND(AH25="Tm",AI25="ft3"),AG25/0.028316,IF(AND(AH25="LT",AI25="m3"),AG25*1.01605,IF(AND(AH25="LT",AI25="ft3"),AG25*(1.01605/0.028316),0))))))</f>
        <v>0.9</v>
      </c>
    </row>
    <row r="26" spans="5:46" x14ac:dyDescent="0.3">
      <c r="Q26" s="52" t="s">
        <v>42</v>
      </c>
      <c r="R26" s="57" t="str">
        <v>Full</v>
      </c>
      <c r="S26" s="52" t="s">
        <v>352</v>
      </c>
      <c r="T26" s="60">
        <v>0</v>
      </c>
      <c r="U26" s="57" t="str">
        <v>Igual</v>
      </c>
      <c r="V26" s="60">
        <v>0</v>
      </c>
      <c r="W26" s="57">
        <v>0</v>
      </c>
      <c r="X26" s="57">
        <v>0</v>
      </c>
      <c r="Y26" s="56">
        <f>IFERROR(IF(R26="Vacio",0,IF(OR(R26="Full",S26="%"),Z26*AA26,IF(AND(S26="D",#REF!="Tm"),T26,IF(AND(S26="D",#REF!="LT"),T26*1.01605,IF(S26="V",Z26*AA26,0))))),"Error")</f>
        <v>445.97749999999996</v>
      </c>
      <c r="Z26" s="32">
        <f>IF(R26="Full",TTHH!C39,IF(R26="Vacio",0,IF(S26="%",TTHH!C39*T26/100,IF(AND(S26="V",#REF!="m3"),T26,IF(AND(S26="V",#REF!="ft3"),T26*0.028316,IF(S26="D",Y26*AA26,0))))))</f>
        <v>435.1</v>
      </c>
      <c r="AA26" s="32">
        <f t="shared" si="0"/>
        <v>1.0249999999999999</v>
      </c>
      <c r="AB26" s="52" t="s">
        <v>82</v>
      </c>
      <c r="AC26" s="57" t="str">
        <v>Slack</v>
      </c>
      <c r="AD26" s="52" t="s">
        <v>352</v>
      </c>
      <c r="AE26" s="60">
        <v>27</v>
      </c>
      <c r="AF26" s="57" t="str">
        <v>Igual</v>
      </c>
      <c r="AG26" s="60">
        <v>0</v>
      </c>
      <c r="AH26" s="57">
        <v>0</v>
      </c>
      <c r="AI26" s="57">
        <v>0</v>
      </c>
      <c r="AJ26" s="56">
        <f>IFERROR(IF(AC26="Vacio",0,IF(OR(AC26="Full",AD26="%"),AK26*AL26,IF(AND(AD26="D",#REF!="Tm"),AE26,IF(AND(AD26="D",#REF!="LT"),AE26*1.01605,IF(AD26="V",AK26*AL26,0))))),"Error")</f>
        <v>1.0935000000000001</v>
      </c>
      <c r="AK26" s="32">
        <f>IF(AC26="Full",TTHH!C108,IF(AC26="Vacio",0,IF(AD26="%",TTHH!C108*AE26/100,IF(AND(AD26="V",#REF!="m3"),AE26,IF(AND(AD26="V",#REF!="ft3"),AE26*0.028316,IF(AD26="D",AJ26*AL26,0))))))</f>
        <v>1.2150000000000001</v>
      </c>
      <c r="AL26" s="32">
        <f>IF(AC26="Vacio",0,IF(AF26="Igual",$AG$23,IF(AND(AH26="Tm",AI26="m3"),AG26,IF(AND(AH26="Tm",AI26="ft3"),AG26/0.028316,IF(AND(AH26="LT",AI26="m3"),AG26*1.01605,IF(AND(AH26="LT",AI26="ft3"),AG26*(1.01605/0.028316),0))))))</f>
        <v>0.9</v>
      </c>
    </row>
    <row r="27" spans="5:46" x14ac:dyDescent="0.3">
      <c r="E27" s="54" t="s">
        <v>57</v>
      </c>
      <c r="F27" s="52" t="s">
        <v>362</v>
      </c>
      <c r="G27" s="52"/>
      <c r="H27" s="52" t="s">
        <v>352</v>
      </c>
      <c r="I27" s="52"/>
      <c r="J27" s="52" t="s">
        <v>359</v>
      </c>
      <c r="K27" s="60">
        <f>Interfaz!I31</f>
        <v>0.85</v>
      </c>
      <c r="L27" s="52" t="s">
        <v>356</v>
      </c>
      <c r="M27" s="52" t="s">
        <v>353</v>
      </c>
      <c r="N27" s="52" t="s">
        <v>470</v>
      </c>
      <c r="O27" s="29" t="s">
        <v>360</v>
      </c>
      <c r="P27" s="29" t="s">
        <v>359</v>
      </c>
      <c r="Q27" s="52" t="s">
        <v>43</v>
      </c>
      <c r="R27" s="57" t="str">
        <v>Full</v>
      </c>
      <c r="S27" s="52" t="s">
        <v>352</v>
      </c>
      <c r="T27" s="60">
        <v>0</v>
      </c>
      <c r="U27" s="57" t="str">
        <v>Igual</v>
      </c>
      <c r="V27" s="60">
        <v>0</v>
      </c>
      <c r="W27" s="57">
        <v>0</v>
      </c>
      <c r="X27" s="57">
        <v>0</v>
      </c>
      <c r="Y27" s="56">
        <f>IFERROR(IF(R27="Vacio",0,IF(OR(R27="Full",S27="%"),Z27*AA27,IF(AND(S27="D",#REF!="Tm"),T27,IF(AND(S27="D",#REF!="LT"),T27*1.01605,IF(S27="V",Z27*AA27,0))))),"Error")</f>
        <v>865.30499999999995</v>
      </c>
      <c r="Z27" s="32">
        <f>IF(R27="Full",TTHH!C40,IF(R27="Vacio",0,IF(S27="%",TTHH!C40*T27/100,IF(AND(S27="V",#REF!="m3"),T27,IF(AND(S27="V",#REF!="ft3"),T27*0.028316,IF(S27="D",Y27*AA27,0))))))</f>
        <v>844.2</v>
      </c>
      <c r="AA27" s="32">
        <f t="shared" si="0"/>
        <v>1.0249999999999999</v>
      </c>
    </row>
    <row r="28" spans="5:46" x14ac:dyDescent="0.3">
      <c r="E28" s="52" t="s">
        <v>58</v>
      </c>
      <c r="F28" s="57" cm="1">
        <f t="array" ref="F28:F31">Interfaz!F32:F35</f>
        <v>0</v>
      </c>
      <c r="G28" s="52" t="s">
        <v>352</v>
      </c>
      <c r="H28" s="60" cm="1">
        <f t="array" ref="H28:H31">Interfaz!G32:G35</f>
        <v>0</v>
      </c>
      <c r="I28" s="59"/>
      <c r="J28" s="58" cm="1">
        <f t="array" ref="J28:J31">Interfaz!H32:H35</f>
        <v>0</v>
      </c>
      <c r="K28" s="60" cm="1">
        <f t="array" ref="K28:K31">Interfaz!I32:I35</f>
        <v>0</v>
      </c>
      <c r="L28" s="57" cm="1">
        <f t="array" ref="L28:L31">Interfaz!J32:J35</f>
        <v>0</v>
      </c>
      <c r="M28" s="57" cm="1">
        <f t="array" ref="M28:M31">Interfaz!K32:K35</f>
        <v>0</v>
      </c>
      <c r="N28" s="56">
        <f>IFERROR(IF(F28="Vacio",0,IF(OR(F28="Full",G28="%"),O28*P28,IF(AND(G28="D",I28="Tm"),H28,IF(AND(G28="D",I28="LT"),H28*1.01605,IF(G28="V",O28*P28,0))))),"Error")</f>
        <v>0</v>
      </c>
      <c r="O28" s="32">
        <f>IF(F28="Full",TTHH!C69,IF(F28="Vacio",0,IF(G28="%",TTHH!C69*H28/100,IF(AND(G28="V",I28="m3"),H28,IF(AND(G28="V",I28="ft3"),H28*0.028316,IF(G28="D",N28*P28,0))))))</f>
        <v>0</v>
      </c>
      <c r="P28" s="32">
        <f>IF(F28="Vacio",0,IF(J28="Igual",$K$27,IF(AND(L28="Tm",M28="m3"),K28,IF(AND(L28="Tm",M28="ft3"),K28/0.028316,IF(AND(L28="LT",M28="m3"),K28*1.01605,IF(AND(L28="LT",M28="ft3"),K28*(1.01605/0.028316),0))))))</f>
        <v>0</v>
      </c>
      <c r="Q28" s="52" t="s">
        <v>44</v>
      </c>
      <c r="R28" s="57" t="str">
        <v>Full</v>
      </c>
      <c r="S28" s="52" t="s">
        <v>352</v>
      </c>
      <c r="T28" s="60">
        <v>0</v>
      </c>
      <c r="U28" s="57" t="str">
        <v>Igual</v>
      </c>
      <c r="V28" s="60">
        <v>0</v>
      </c>
      <c r="W28" s="57">
        <v>0</v>
      </c>
      <c r="X28" s="57">
        <v>0</v>
      </c>
      <c r="Y28" s="56">
        <f>IFERROR(IF(R28="Vacio",0,IF(OR(R28="Full",S28="%"),Z28*AA28,IF(AND(S28="D",#REF!="Tm"),T28,IF(AND(S28="D",#REF!="LT"),T28*1.01605,IF(S28="V",Z28*AA28,0))))),"Error")</f>
        <v>865.30499999999995</v>
      </c>
      <c r="Z28" s="32">
        <f>IF(R28="Full",TTHH!C41,IF(R28="Vacio",0,IF(S28="%",TTHH!C41*T28/100,IF(AND(S28="V",#REF!="m3"),T28,IF(AND(S28="V",#REF!="ft3"),T28*0.028316,IF(S28="D",Y28*AA28,0))))))</f>
        <v>844.2</v>
      </c>
      <c r="AA28" s="32">
        <f t="shared" si="0"/>
        <v>1.0249999999999999</v>
      </c>
      <c r="AB28" s="54" t="s">
        <v>84</v>
      </c>
      <c r="AC28" s="52" t="s">
        <v>362</v>
      </c>
      <c r="AD28" s="52"/>
      <c r="AE28" s="52" t="s">
        <v>352</v>
      </c>
      <c r="AF28" s="52" t="s">
        <v>359</v>
      </c>
      <c r="AG28" s="60">
        <f>Interfaz!I90</f>
        <v>1</v>
      </c>
      <c r="AH28" s="52" t="s">
        <v>356</v>
      </c>
      <c r="AI28" s="52" t="s">
        <v>353</v>
      </c>
      <c r="AJ28" s="52" t="s">
        <v>470</v>
      </c>
      <c r="AK28" s="29" t="s">
        <v>360</v>
      </c>
      <c r="AL28" s="29" t="s">
        <v>359</v>
      </c>
    </row>
    <row r="29" spans="5:46" x14ac:dyDescent="0.3">
      <c r="E29" s="52" t="s">
        <v>59</v>
      </c>
      <c r="F29" s="57" t="str">
        <v>Slack</v>
      </c>
      <c r="G29" s="52" t="s">
        <v>352</v>
      </c>
      <c r="H29" s="60">
        <v>80</v>
      </c>
      <c r="I29" s="59"/>
      <c r="J29" s="58" t="str">
        <v>Igual</v>
      </c>
      <c r="K29" s="60">
        <v>0</v>
      </c>
      <c r="L29" s="57">
        <v>0</v>
      </c>
      <c r="M29" s="57">
        <v>0</v>
      </c>
      <c r="N29" s="56">
        <f>IFERROR(IF(F29="Vacio",0,IF(OR(F29="Full",G29="%"),O29*P29,IF(AND(G29="D",I29="Tm"),H29,IF(AND(G29="D",I29="LT"),H29*1.01605,IF(G29="V",O29*P29,0))))),"Error")</f>
        <v>15.367999999999999</v>
      </c>
      <c r="O29" s="32">
        <f>IF(F29="Full",TTHH!C70,IF(F29="Vacio",0,IF(G29="%",TTHH!C70*H29/100,IF(AND(G29="V",I29="m3"),H29,IF(AND(G29="V",I29="ft3"),H29*0.028316,IF(G29="D",N29*P29,0))))))</f>
        <v>18.079999999999998</v>
      </c>
      <c r="P29" s="32">
        <f>IF(F29="Vacio",0,IF(J29="Igual",$K$27,IF(AND(L29="Tm",M29="m3"),K29,IF(AND(L29="Tm",M29="ft3"),K29/0.028316,IF(AND(L29="LT",M29="m3"),K29*1.01605,IF(AND(L29="LT",M29="ft3"),K29*(1.01605/0.028316),0))))))</f>
        <v>0.85</v>
      </c>
      <c r="Q29" s="52" t="s">
        <v>30</v>
      </c>
      <c r="R29" s="57">
        <v>0</v>
      </c>
      <c r="S29" s="52" t="s">
        <v>352</v>
      </c>
      <c r="T29" s="60">
        <v>0</v>
      </c>
      <c r="U29" s="57">
        <v>0</v>
      </c>
      <c r="V29" s="60">
        <v>0</v>
      </c>
      <c r="W29" s="57">
        <v>0</v>
      </c>
      <c r="X29" s="57">
        <v>0</v>
      </c>
      <c r="Y29" s="56">
        <f>IFERROR(IF(R29="Vacio",0,IF(OR(R29="Full",S29="%"),Z29*AA29,IF(AND(S29="D",#REF!="Tm"),T29,IF(AND(S29="D",#REF!="LT"),T29*1.01605,IF(S29="V",Z29*AA29,0))))),"Error")</f>
        <v>0</v>
      </c>
      <c r="Z29" s="32">
        <f>IF(R29="Full",TTHH!C42,IF(R29="Vacio",0,IF(S29="%",TTHH!C42*T29/100,IF(AND(S29="V",#REF!="m3"),T29,IF(AND(S29="V",#REF!="ft3"),T29*0.028316,IF(S29="D",Y29*AA29,0))))))</f>
        <v>0</v>
      </c>
      <c r="AA29" s="32">
        <f t="shared" si="0"/>
        <v>0</v>
      </c>
      <c r="AB29" s="52" t="s">
        <v>85</v>
      </c>
      <c r="AC29" s="57" cm="1">
        <f t="array" ref="AC29:AC33">Interfaz!F91:F95</f>
        <v>0</v>
      </c>
      <c r="AD29" s="52" t="s">
        <v>352</v>
      </c>
      <c r="AE29" s="60" cm="1">
        <f t="array" ref="AE29:AE33">Interfaz!G91:G95</f>
        <v>0</v>
      </c>
      <c r="AF29" s="57" cm="1">
        <f t="array" ref="AF29:AF33">Interfaz!H91:H95</f>
        <v>0</v>
      </c>
      <c r="AG29" s="60" cm="1">
        <f t="array" ref="AG29:AG33">Interfaz!I91:I95</f>
        <v>0</v>
      </c>
      <c r="AH29" s="57" cm="1">
        <f t="array" ref="AH29:AH33">Interfaz!J91:J95</f>
        <v>0</v>
      </c>
      <c r="AI29" s="57" cm="1">
        <f t="array" ref="AI29:AI33">Interfaz!K91:K95</f>
        <v>0</v>
      </c>
      <c r="AJ29" s="56">
        <f>IFERROR(IF(AC29="Vacio",0,IF(OR(AC29="Full",AD29="%"),AK29*AL29,IF(AND(AD29="D",#REF!="Tm"),AE29,IF(AND(AD29="D",#REF!="LT"),AE29*1.01605,IF(AD29="V",AK29*AL29,0))))),"Error")</f>
        <v>0</v>
      </c>
      <c r="AK29" s="32">
        <f>IF(AC29="Full",TTHH!C116,IF(AC29="Vacio",0,IF(AD29="%",TTHH!C116*AE29/100,IF(AND(AD29="V",#REF!="m3"),AE29,IF(AND(AD29="V",#REF!="ft3"),AE29*0.028316,IF(AD29="D",AJ29*AL29,0))))))</f>
        <v>0</v>
      </c>
      <c r="AL29" s="32">
        <f>IF(AC29="Vacio",0,IF(AF29="Igual",$AG$28,IF(AND(AH29="Tm",AI29="m3"),AG29,IF(AND(AH29="Tm",AI29="ft3"),AG29/0.028316,IF(AND(AH29="LT",AI29="m3"),AG29*1.01605,IF(AND(AH29="LT",AI29="ft3"),AG29*(1.01605/0.028316),0))))))</f>
        <v>0</v>
      </c>
    </row>
    <row r="30" spans="5:46" x14ac:dyDescent="0.3">
      <c r="E30" s="52" t="s">
        <v>60</v>
      </c>
      <c r="F30" s="57">
        <v>0</v>
      </c>
      <c r="G30" s="52" t="s">
        <v>352</v>
      </c>
      <c r="H30" s="60">
        <v>0</v>
      </c>
      <c r="I30" s="59"/>
      <c r="J30" s="58">
        <v>0</v>
      </c>
      <c r="K30" s="60">
        <v>0</v>
      </c>
      <c r="L30" s="57">
        <v>0</v>
      </c>
      <c r="M30" s="57">
        <v>0</v>
      </c>
      <c r="N30" s="56">
        <f>IFERROR(IF(F30="Vacio",0,IF(OR(F30="Full",G30="%"),O30*P30,IF(AND(G30="D",I30="Tm"),H30,IF(AND(G30="D",I30="LT"),H30*1.01605,IF(G30="V",O30*P30,0))))),"Error")</f>
        <v>0</v>
      </c>
      <c r="O30" s="32">
        <f>IF(F30="Full",TTHH!C71,IF(F30="Vacio",0,IF(G30="%",TTHH!C71*H30/100,IF(AND(G30="V",I30="m3"),H30,IF(AND(G30="V",I30="ft3"),H30*0.028316,IF(G30="D",N30*P30,0))))))</f>
        <v>0</v>
      </c>
      <c r="P30" s="32">
        <f>IF(F30="Vacio",0,IF(J30="Igual",$K$27,IF(AND(L30="Tm",M30="m3"),K30,IF(AND(L30="Tm",M30="ft3"),K30/0.028316,IF(AND(L30="LT",M30="m3"),K30*1.01605,IF(AND(L30="LT",M30="ft3"),K30*(1.01605/0.028316),0))))))</f>
        <v>0</v>
      </c>
      <c r="Q30" s="52" t="s">
        <v>29</v>
      </c>
      <c r="R30" s="57">
        <v>0</v>
      </c>
      <c r="S30" s="52" t="s">
        <v>352</v>
      </c>
      <c r="T30" s="60">
        <v>0</v>
      </c>
      <c r="U30" s="57">
        <v>0</v>
      </c>
      <c r="V30" s="60">
        <v>0</v>
      </c>
      <c r="W30" s="57">
        <v>0</v>
      </c>
      <c r="X30" s="57">
        <v>0</v>
      </c>
      <c r="Y30" s="56">
        <f>IFERROR(IF(R30="Vacio",0,IF(OR(R30="Full",S30="%"),Z30*AA30,IF(AND(S30="D",#REF!="Tm"),T30,IF(AND(S30="D",#REF!="LT"),T30*1.01605,IF(S30="V",Z30*AA30,0))))),"Error")</f>
        <v>0</v>
      </c>
      <c r="Z30" s="32">
        <f>IF(R30="Full",TTHH!C43,IF(R30="Vacio",0,IF(S30="%",TTHH!C43*T30/100,IF(AND(S30="V",#REF!="m3"),T30,IF(AND(S30="V",#REF!="ft3"),T30*0.028316,IF(S30="D",Y30*AA30,0))))))</f>
        <v>0</v>
      </c>
      <c r="AA30" s="32">
        <f t="shared" si="0"/>
        <v>0</v>
      </c>
      <c r="AB30" s="52" t="s">
        <v>86</v>
      </c>
      <c r="AC30" s="57">
        <v>0</v>
      </c>
      <c r="AD30" s="52" t="s">
        <v>352</v>
      </c>
      <c r="AE30" s="60">
        <v>0</v>
      </c>
      <c r="AF30" s="57">
        <v>0</v>
      </c>
      <c r="AG30" s="60">
        <v>0</v>
      </c>
      <c r="AH30" s="57">
        <v>0</v>
      </c>
      <c r="AI30" s="57">
        <v>0</v>
      </c>
      <c r="AJ30" s="56">
        <f>IFERROR(IF(AC30="Vacio",0,IF(OR(AC30="Full",AD30="%"),AK30*AL30,IF(AND(AD30="D",#REF!="Tm"),AE30,IF(AND(AD30="D",#REF!="LT"),AE30*1.01605,IF(AD30="V",AK30*AL30,0))))),"Error")</f>
        <v>0</v>
      </c>
      <c r="AK30" s="32">
        <f>IF(AC30="Full",TTHH!C117,IF(AC30="Vacio",0,IF(AD30="%",TTHH!C117*AE30/100,IF(AND(AD30="V",#REF!="m3"),AE30,IF(AND(AD30="V",#REF!="ft3"),AE30*0.028316,IF(AD30="D",AJ30*AL30,0))))))</f>
        <v>0</v>
      </c>
      <c r="AL30" s="32">
        <f>IF(AC30="Vacio",0,IF(AF30="Igual",$AG$28,IF(AND(AH30="Tm",AI30="m3"),AG30,IF(AND(AH30="Tm",AI30="ft3"),AG30/0.028316,IF(AND(AH30="LT",AI30="m3"),AG30*1.01605,IF(AND(AH30="LT",AI30="ft3"),AG30*(1.01605/0.028316),0))))))</f>
        <v>0</v>
      </c>
    </row>
    <row r="31" spans="5:46" x14ac:dyDescent="0.3">
      <c r="E31" s="52" t="s">
        <v>61</v>
      </c>
      <c r="F31" s="57" t="str">
        <v>Slack</v>
      </c>
      <c r="G31" s="52" t="s">
        <v>352</v>
      </c>
      <c r="H31" s="60">
        <v>18</v>
      </c>
      <c r="I31" s="59"/>
      <c r="J31" s="58" t="str">
        <v>Igual</v>
      </c>
      <c r="K31" s="60">
        <v>0</v>
      </c>
      <c r="L31" s="57">
        <v>0</v>
      </c>
      <c r="M31" s="57">
        <v>0</v>
      </c>
      <c r="N31" s="56">
        <f>IFERROR(IF(F31="Vacio",0,IF(OR(F31="Full",G31="%"),O31*P31,IF(AND(G31="D",I31="Tm"),H31,IF(AND(G31="D",I31="LT"),H31*1.01605,IF(G31="V",O31*P31,0))))),"Error")</f>
        <v>3.4578000000000002</v>
      </c>
      <c r="O31" s="32">
        <f>IF(F31="Full",TTHH!C72,IF(F31="Vacio",0,IF(G31="%",TTHH!C72*H31/100,IF(AND(G31="V",I31="m3"),H31,IF(AND(G31="V",I31="ft3"),H31*0.028316,IF(G31="D",N31*P31,0))))))</f>
        <v>4.0680000000000005</v>
      </c>
      <c r="P31" s="32">
        <f>IF(F31="Vacio",0,IF(J31="Igual",$K$27,IF(AND(L31="Tm",M31="m3"),K31,IF(AND(L31="Tm",M31="ft3"),K31/0.028316,IF(AND(L31="LT",M31="m3"),K31*1.01605,IF(AND(L31="LT",M31="ft3"),K31*(1.01605/0.028316),0))))))</f>
        <v>0.85</v>
      </c>
      <c r="Q31" s="52" t="s">
        <v>28</v>
      </c>
      <c r="R31" s="57">
        <v>0</v>
      </c>
      <c r="S31" s="52" t="s">
        <v>352</v>
      </c>
      <c r="T31" s="60">
        <v>0</v>
      </c>
      <c r="U31" s="57">
        <v>0</v>
      </c>
      <c r="V31" s="60">
        <v>0</v>
      </c>
      <c r="W31" s="57">
        <v>0</v>
      </c>
      <c r="X31" s="57">
        <v>0</v>
      </c>
      <c r="Y31" s="56">
        <f>IFERROR(IF(R31="Vacio",0,IF(OR(R31="Full",S31="%"),Z31*AA31,IF(AND(S31="D",#REF!="Tm"),T31,IF(AND(S31="D",#REF!="LT"),T31*1.01605,IF(S31="V",Z31*AA31,0))))),"Error")</f>
        <v>0</v>
      </c>
      <c r="Z31" s="32">
        <f>IF(R31="Full",TTHH!C44,IF(R31="Vacio",0,IF(S31="%",TTHH!C44*T31/100,IF(AND(S31="V",#REF!="m3"),T31,IF(AND(S31="V",#REF!="ft3"),T31*0.028316,IF(S31="D",Y31*AA31,0))))))</f>
        <v>0</v>
      </c>
      <c r="AA31" s="32">
        <f t="shared" si="0"/>
        <v>0</v>
      </c>
      <c r="AB31" s="52" t="s">
        <v>87</v>
      </c>
      <c r="AC31" s="57" t="str">
        <v>Slack</v>
      </c>
      <c r="AD31" s="52" t="s">
        <v>352</v>
      </c>
      <c r="AE31" s="60">
        <v>13</v>
      </c>
      <c r="AF31" s="57" t="str">
        <v>Igual</v>
      </c>
      <c r="AG31" s="60">
        <v>0</v>
      </c>
      <c r="AH31" s="57">
        <v>0</v>
      </c>
      <c r="AI31" s="57">
        <v>0</v>
      </c>
      <c r="AJ31" s="56">
        <f>IFERROR(IF(AC31="Vacio",0,IF(OR(AC31="Full",AD31="%"),AK31*AL31,IF(AND(AD31="D",#REF!="Tm"),AE31,IF(AND(AD31="D",#REF!="LT"),AE31*1.01605,IF(AD31="V",AK31*AL31,0))))),"Error")</f>
        <v>4.55</v>
      </c>
      <c r="AK31" s="32">
        <f>IF(AC31="Full",TTHH!C118,IF(AC31="Vacio",0,IF(AD31="%",TTHH!C118*AE31/100,IF(AND(AD31="V",#REF!="m3"),AE31,IF(AND(AD31="V",#REF!="ft3"),AE31*0.028316,IF(AD31="D",AJ31*AL31,0))))))</f>
        <v>4.55</v>
      </c>
      <c r="AL31" s="32">
        <f>IF(AC31="Vacio",0,IF(AF31="Igual",$AG$28,IF(AND(AH31="Tm",AI31="m3"),AG31,IF(AND(AH31="Tm",AI31="ft3"),AG31/0.028316,IF(AND(AH31="LT",AI31="m3"),AG31*1.01605,IF(AND(AH31="LT",AI31="ft3"),AG31*(1.01605/0.028316),0))))))</f>
        <v>1</v>
      </c>
    </row>
    <row r="32" spans="5:46" x14ac:dyDescent="0.3">
      <c r="Q32" s="52" t="s">
        <v>27</v>
      </c>
      <c r="R32" s="57">
        <v>0</v>
      </c>
      <c r="S32" s="52" t="s">
        <v>352</v>
      </c>
      <c r="T32" s="60">
        <v>0</v>
      </c>
      <c r="U32" s="57">
        <v>0</v>
      </c>
      <c r="V32" s="60">
        <v>0</v>
      </c>
      <c r="W32" s="57">
        <v>0</v>
      </c>
      <c r="X32" s="57">
        <v>0</v>
      </c>
      <c r="Y32" s="56">
        <f>IFERROR(IF(R32="Vacio",0,IF(OR(R32="Full",S32="%"),Z32*AA32,IF(AND(S32="D",#REF!="Tm"),T32,IF(AND(S32="D",#REF!="LT"),T32*1.01605,IF(S32="V",Z32*AA32,0))))),"Error")</f>
        <v>0</v>
      </c>
      <c r="Z32" s="50">
        <f>IF(R32="Full",TTHH!C45,IF(R32="Vacio",0,IF(S32="%",TTHH!C45*T32/100,IF(AND(S32="V",#REF!="m3"),T32,IF(AND(S32="V",#REF!="ft3"),T32*0.028316,IF(S32="D",Y32*AA32,0))))))</f>
        <v>0</v>
      </c>
      <c r="AA32" s="50">
        <f>IF(U32="Igual",$V$7,IF(AND(W32="Tm",X32="m3"),V32,IF(AND(W32="Tm",X32="ft3"),V32/0.028316,IF(AND(W32="LT",X32="m3"),V32*1.01605,IF(AND(W32="LT",X32="ft3"),V32*(1.01605/0.028316),0)))))</f>
        <v>0</v>
      </c>
      <c r="AB32" s="52" t="s">
        <v>88</v>
      </c>
      <c r="AC32" s="57">
        <v>0</v>
      </c>
      <c r="AD32" s="52" t="s">
        <v>352</v>
      </c>
      <c r="AE32" s="60">
        <v>0</v>
      </c>
      <c r="AF32" s="57">
        <v>0</v>
      </c>
      <c r="AG32" s="60">
        <v>0</v>
      </c>
      <c r="AH32" s="57">
        <v>0</v>
      </c>
      <c r="AI32" s="57">
        <v>0</v>
      </c>
      <c r="AJ32" s="56">
        <f>IFERROR(IF(AC32="Vacio",0,IF(OR(AC32="Full",AD32="%"),AK32*AL32,IF(AND(AD32="D",#REF!="Tm"),AE32,IF(AND(AD32="D",#REF!="LT"),AE32*1.01605,IF(AD32="V",AK32*AL32,0))))),"Error")</f>
        <v>0</v>
      </c>
      <c r="AK32" s="32">
        <f>IF(AC32="Full",TTHH!C119,IF(AC32="Vacio",0,IF(AD32="%",TTHH!C119*AE32/100,IF(AND(AD32="V",#REF!="m3"),AE32,IF(AND(AD32="V",#REF!="ft3"),AE32*0.028316,IF(AD32="D",AJ32*AL32,0))))))</f>
        <v>0</v>
      </c>
      <c r="AL32" s="32">
        <f>IF(AC32="Vacio",0,IF(AF32="Igual",$AG$28,IF(AND(AH32="Tm",AI32="m3"),AG32,IF(AND(AH32="Tm",AI32="ft3"),AG32/0.028316,IF(AND(AH32="LT",AI32="m3"),AG32*1.01605,IF(AND(AH32="LT",AI32="ft3"),AG32*(1.01605/0.028316),0))))))</f>
        <v>0</v>
      </c>
    </row>
    <row r="33" spans="28:38" x14ac:dyDescent="0.3">
      <c r="AB33" s="52" t="s">
        <v>89</v>
      </c>
      <c r="AC33" s="57" t="str">
        <v>Slack</v>
      </c>
      <c r="AD33" s="52" t="s">
        <v>352</v>
      </c>
      <c r="AE33" s="60">
        <v>4</v>
      </c>
      <c r="AF33" s="57" t="str">
        <v>Igual</v>
      </c>
      <c r="AG33" s="60">
        <v>0</v>
      </c>
      <c r="AH33" s="57">
        <v>0</v>
      </c>
      <c r="AI33" s="57">
        <v>0</v>
      </c>
      <c r="AJ33" s="56">
        <f>IFERROR(IF(AC33="Vacio",0,IF(OR(AC33="Full",AD33="%"),AK33*AL33,IF(AND(AD33="D",#REF!="Tm"),AE33,IF(AND(AD33="D",#REF!="LT"),AE33*1.01605,IF(AD33="V",AK33*AL33,0))))),"Error")</f>
        <v>0.124</v>
      </c>
      <c r="AK33" s="32">
        <f>IF(AC33="Full",TTHH!C120,IF(AC33="Vacio",0,IF(AD33="%",TTHH!C120*AE33/100,IF(AND(AD33="V",#REF!="m3"),AE33,IF(AND(AD33="V",#REF!="ft3"),AE33*0.028316,IF(AD33="D",AJ33*AL33,0))))))</f>
        <v>0.124</v>
      </c>
      <c r="AL33" s="32">
        <f>IF(AC33="Vacio",0,IF(AF33="Igual",$AG$28,IF(AND(AH33="Tm",AI33="m3"),AG33,IF(AND(AH33="Tm",AI33="ft3"),AG33/0.028316,IF(AND(AH33="LT",AI33="m3"),AG33*1.01605,IF(AND(AH33="LT",AI33="ft3"),AG33*(1.01605/0.028316),0))))))</f>
        <v>1</v>
      </c>
    </row>
  </sheetData>
  <phoneticPr fontId="18" type="noConversion"/>
  <conditionalFormatting sqref="O7:P12 AK7:AL17 D13:P13 O15:P24 AK19:AL33 O27:P31">
    <cfRule type="expression" dxfId="192" priority="5">
      <formula>$O$6="Ocultar"</formula>
    </cfRule>
  </conditionalFormatting>
  <conditionalFormatting sqref="Z7:AA31">
    <cfRule type="expression" dxfId="191" priority="4">
      <formula>$O$6="Ocultar"</formula>
    </cfRule>
  </conditionalFormatting>
  <dataValidations count="3">
    <dataValidation type="list" allowBlank="1" showInputMessage="1" showErrorMessage="1" sqref="G8:G12 G28:G31 AD24:AD26 AD29:AD33 S8:S32 AD8:AD17 AD20:AD21" xr:uid="{44E572CF-F0DC-4F1A-A5C3-E4FF894310BB}">
      <formula1>"D,V,%"</formula1>
    </dataValidation>
    <dataValidation type="list" allowBlank="1" showInputMessage="1" showErrorMessage="1" sqref="I28:I31 I16:I24 M9:M12" xr:uid="{2029B405-FDBF-4160-8749-C1273C7BE6C2}">
      <formula1>"Tm,LT,m3,ft3"</formula1>
    </dataValidation>
    <dataValidation type="list" allowBlank="1" showInputMessage="1" showErrorMessage="1" sqref="O6" xr:uid="{531AEE74-E484-486E-8AE6-3FE076BD8C9D}">
      <formula1>"Ver Cuentas, Ocultar"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0A7F-AE85-4E73-A117-FEE52A3E2C7E}">
  <sheetPr>
    <tabColor rgb="FFE2007D"/>
  </sheetPr>
  <dimension ref="E6:AK31"/>
  <sheetViews>
    <sheetView topLeftCell="D1" workbookViewId="0">
      <selection activeCell="AG17" sqref="AG17"/>
    </sheetView>
    <sheetView workbookViewId="1"/>
  </sheetViews>
  <sheetFormatPr baseColWidth="10" defaultRowHeight="14.4" x14ac:dyDescent="0.3"/>
  <cols>
    <col min="1" max="4" width="11.5546875" style="8"/>
    <col min="5" max="5" width="13.44140625" style="8" customWidth="1"/>
    <col min="6" max="11" width="11.5546875" style="8"/>
    <col min="12" max="12" width="11.5546875" style="8" customWidth="1"/>
    <col min="13" max="14" width="11.5546875" style="8"/>
    <col min="15" max="15" width="11.5546875" style="8" customWidth="1"/>
    <col min="16" max="16" width="15.109375" style="8" customWidth="1"/>
    <col min="17" max="17" width="13.33203125" style="8" customWidth="1"/>
    <col min="18" max="18" width="11.5546875" style="8"/>
    <col min="19" max="19" width="11.5546875" style="8" customWidth="1"/>
    <col min="20" max="20" width="14.6640625" style="8" customWidth="1"/>
    <col min="21" max="21" width="11.5546875" style="8"/>
    <col min="22" max="22" width="11.5546875" style="8" customWidth="1"/>
    <col min="23" max="23" width="11.5546875" style="8"/>
    <col min="24" max="24" width="14.6640625" style="8" customWidth="1"/>
    <col min="25" max="25" width="11.5546875" style="8" customWidth="1"/>
    <col min="26" max="26" width="11.5546875" style="8"/>
    <col min="27" max="27" width="17.109375" style="8" customWidth="1"/>
    <col min="28" max="28" width="14" style="8" customWidth="1"/>
    <col min="29" max="29" width="15.21875" style="8" customWidth="1"/>
    <col min="30" max="30" width="11.5546875" style="8"/>
    <col min="31" max="31" width="15" style="8" customWidth="1"/>
    <col min="32" max="32" width="11.5546875" style="8" customWidth="1"/>
    <col min="33" max="34" width="11.5546875" style="8"/>
    <col min="35" max="35" width="14" style="8" customWidth="1"/>
    <col min="36" max="16384" width="11.5546875" style="8"/>
  </cols>
  <sheetData>
    <row r="6" spans="5:37" x14ac:dyDescent="0.3">
      <c r="E6" s="54" t="s">
        <v>420</v>
      </c>
      <c r="F6" s="56">
        <f>SUM(J18,J25,U19,U25,AF14,AF19)</f>
        <v>613.18240075925598</v>
      </c>
      <c r="H6" s="54" t="s">
        <v>408</v>
      </c>
      <c r="I6" s="56">
        <f>Navegación!F24</f>
        <v>17.032844465534886</v>
      </c>
      <c r="K6" s="54" t="s">
        <v>445</v>
      </c>
      <c r="L6" s="56">
        <f>F9+F21+Q9+Q22+AB9+AB17</f>
        <v>36</v>
      </c>
      <c r="N6" s="57" t="s">
        <v>350</v>
      </c>
    </row>
    <row r="8" spans="5:37" x14ac:dyDescent="0.3">
      <c r="E8" s="54" t="s">
        <v>46</v>
      </c>
      <c r="F8" s="52" t="s">
        <v>471</v>
      </c>
      <c r="G8" s="52" t="s">
        <v>400</v>
      </c>
      <c r="H8" s="52" t="s">
        <v>462</v>
      </c>
      <c r="I8" s="52" t="s">
        <v>401</v>
      </c>
      <c r="J8" s="52" t="s">
        <v>402</v>
      </c>
      <c r="K8" s="52" t="s">
        <v>403</v>
      </c>
      <c r="L8" s="52" t="s">
        <v>444</v>
      </c>
      <c r="N8" s="52" t="s">
        <v>421</v>
      </c>
      <c r="O8" s="29" t="s">
        <v>463</v>
      </c>
      <c r="P8" s="54" t="s">
        <v>63</v>
      </c>
      <c r="Q8" s="52" t="s">
        <v>473</v>
      </c>
      <c r="R8" s="52" t="s">
        <v>400</v>
      </c>
      <c r="S8" s="52" t="s">
        <v>443</v>
      </c>
      <c r="T8" s="52" t="s">
        <v>401</v>
      </c>
      <c r="U8" s="52" t="s">
        <v>402</v>
      </c>
      <c r="V8" s="52" t="s">
        <v>403</v>
      </c>
      <c r="W8" s="52" t="s">
        <v>444</v>
      </c>
      <c r="Y8" s="52" t="s">
        <v>421</v>
      </c>
      <c r="Z8" s="29" t="s">
        <v>463</v>
      </c>
      <c r="AA8" s="54" t="s">
        <v>84</v>
      </c>
      <c r="AB8" s="52" t="s">
        <v>475</v>
      </c>
      <c r="AC8" s="52" t="s">
        <v>400</v>
      </c>
      <c r="AD8" s="52" t="s">
        <v>443</v>
      </c>
      <c r="AE8" s="52" t="s">
        <v>401</v>
      </c>
      <c r="AF8" s="52" t="s">
        <v>402</v>
      </c>
      <c r="AG8" s="52" t="s">
        <v>403</v>
      </c>
      <c r="AH8" s="52" t="s">
        <v>444</v>
      </c>
      <c r="AJ8" s="52" t="s">
        <v>421</v>
      </c>
      <c r="AK8" s="29" t="s">
        <v>463</v>
      </c>
    </row>
    <row r="9" spans="5:37" x14ac:dyDescent="0.3">
      <c r="E9" s="57" t="str" cm="1">
        <f t="array" ref="E9:E17">Interfaz!E255:E263</f>
        <v>Deep P 2</v>
      </c>
      <c r="F9" s="60">
        <f>Interfaz!E150</f>
        <v>30</v>
      </c>
      <c r="G9" s="71" t="str" cm="1">
        <f t="array" ref="G9:G17">Interfaz!H255:H263</f>
        <v/>
      </c>
      <c r="H9" s="56">
        <f>IFERROR(VLOOKUP(E9, $M$9:$N$17, 2, 0) - SUMIF($E$8:E8, E9, $J$8:J8),0)</f>
        <v>354.57799999999997</v>
      </c>
      <c r="I9" s="56">
        <f>IF(F9=0, 0, MAX(0, MIN(
    IF(G9="", 99999, G9),
    H9/F9,
    $I$6 - SUM($I$8:I8)
)))</f>
        <v>11.819266666666666</v>
      </c>
      <c r="J9" s="56">
        <f>I9 * F9</f>
        <v>354.57799999999997</v>
      </c>
      <c r="K9" s="56">
        <f>IF(F9=0,"",MAX(0, $I$6 - SUM($I$9:I9)))</f>
        <v>5.2135777988682204</v>
      </c>
      <c r="L9" s="56">
        <f>H9-J9</f>
        <v>0</v>
      </c>
      <c r="M9" s="52" t="s">
        <v>410</v>
      </c>
      <c r="N9" s="56" cm="1">
        <f t="array" ref="N9:N17">'Carga y Reparto'!O17:O25</f>
        <v>0</v>
      </c>
      <c r="O9" s="32">
        <f t="shared" ref="O9:O17" si="0">N9-SUMIF($E$9:$E$17,M9,$J$9:$J$17)</f>
        <v>0</v>
      </c>
      <c r="P9" s="57" t="str" cm="1">
        <f t="array" ref="P9:P18">Interfaz!E266:E275</f>
        <v>Cyl 1</v>
      </c>
      <c r="Q9" s="60">
        <f>Interfaz!G150</f>
        <v>1</v>
      </c>
      <c r="R9" s="60" cm="1">
        <f t="array" ref="R9:R18">Interfaz!H266:H275</f>
        <v>8.5</v>
      </c>
      <c r="S9" s="56">
        <f>IFERROR(VLOOKUP(P9, $X$9:$Y$18, 2, 0) - SUMIF($P$8:P8, P9, $U$8:U8),0)</f>
        <v>18.18</v>
      </c>
      <c r="T9" s="56">
        <f>IF(Q9=0, 0, MAX(0, MIN(
    IF(R9="", 99999, R9),
    S9/Q9,
    $I$6 - SUM($T$8:T8)
)))</f>
        <v>8.5</v>
      </c>
      <c r="U9" s="56">
        <f>T9 * Q9</f>
        <v>8.5</v>
      </c>
      <c r="V9" s="56">
        <f>IF(Q9=0,"",MAX(0,$I$6-SUM($T$9:T9)))</f>
        <v>8.5328444655348861</v>
      </c>
      <c r="W9" s="56">
        <f>S9-U9</f>
        <v>9.68</v>
      </c>
      <c r="X9" s="52" t="s">
        <v>422</v>
      </c>
      <c r="Y9" s="56" cm="1">
        <f t="array" ref="Y9:Y18">'Carga y Reparto'!O63:O72</f>
        <v>17.100000000000001</v>
      </c>
      <c r="Z9" s="44">
        <f>Y9-SUMIF($P$9:$P$18,X9,$U$9:$U$18)</f>
        <v>17.067155534465115</v>
      </c>
      <c r="AA9" s="57" cm="1">
        <f t="array" ref="AA9:AA13">Interfaz!I266:I270</f>
        <v>0</v>
      </c>
      <c r="AB9" s="60">
        <f>Interfaz!I150</f>
        <v>0</v>
      </c>
      <c r="AC9" s="60" t="str" cm="1">
        <f t="array" ref="AC9:AC13">Interfaz!L266:L270</f>
        <v/>
      </c>
      <c r="AD9" s="56">
        <f>IFERROR(VLOOKUP(AA9, $AI$9:$AJ$13, 2, 0) - SUMIF($AA$8:AA8, AA9, $AF$8:AF8),0)</f>
        <v>0</v>
      </c>
      <c r="AE9" s="56">
        <f>IF(AB9=0, 0, MAX(0, MIN(
    IF(AC9="", 99999, AC9),
    AD9/AB9,
    $I$6 - SUM($AE$8:AE8)
)))</f>
        <v>0</v>
      </c>
      <c r="AF9" s="56">
        <f>AE9 * AB9</f>
        <v>0</v>
      </c>
      <c r="AG9" s="56" t="str">
        <f>IF(AB9=0,"",MAX(0,$I$6-SUM($AE$9:AE9)))</f>
        <v/>
      </c>
      <c r="AH9" s="56">
        <f>AD9-AF9</f>
        <v>0</v>
      </c>
      <c r="AI9" s="52" t="s">
        <v>85</v>
      </c>
      <c r="AJ9" s="56" cm="1">
        <f t="array" ref="AJ9:AJ13">'Carga y Reparto'!O87:O91</f>
        <v>0</v>
      </c>
      <c r="AK9" s="32">
        <f>AJ9-SUMIF($AA$9:$AA$13,AI9,$AF$9:$AF$13)</f>
        <v>0</v>
      </c>
    </row>
    <row r="10" spans="5:37" x14ac:dyDescent="0.3">
      <c r="E10" s="57" t="str">
        <v>Service Tk 1</v>
      </c>
      <c r="F10" s="62">
        <f t="shared" ref="F10:F17" si="1">$F$9</f>
        <v>30</v>
      </c>
      <c r="G10" s="60" t="str">
        <v/>
      </c>
      <c r="H10" s="56">
        <f>IFERROR(VLOOKUP(E10, $M$9:$N$17, 2, 0) - SUMIF($E$8:E9, E10, $J$8:J9),0)</f>
        <v>42.94</v>
      </c>
      <c r="I10" s="56">
        <f>IF(F10=0, 0, MAX(0, MIN(
    IF(G10="", 99999, G10),
    H10/F10,
    $I$6 - SUM($I$8:I9)
)))</f>
        <v>1.4313333333333333</v>
      </c>
      <c r="J10" s="56">
        <f t="shared" ref="J10:J17" si="2">I10 * F10</f>
        <v>42.94</v>
      </c>
      <c r="K10" s="56">
        <f>IF(F10=0,"",MAX(0, $I$6 - SUM($I$9:I10)))</f>
        <v>3.7822444655348875</v>
      </c>
      <c r="L10" s="56">
        <f>H10-J10</f>
        <v>0</v>
      </c>
      <c r="M10" s="52" t="s">
        <v>411</v>
      </c>
      <c r="N10" s="56">
        <v>0</v>
      </c>
      <c r="O10" s="32">
        <f t="shared" si="0"/>
        <v>0</v>
      </c>
      <c r="P10" s="57" t="str">
        <v>Cyl 2</v>
      </c>
      <c r="Q10" s="62">
        <f t="shared" ref="Q10:Q18" si="3">$Q$9</f>
        <v>1</v>
      </c>
      <c r="R10" s="60">
        <v>8.5</v>
      </c>
      <c r="S10" s="56">
        <f>IFERROR(VLOOKUP(P10, $X$9:$Y$18, 2, 0) - SUMIF($P$8:P9, P10, $U$8:U9),0)</f>
        <v>39.96</v>
      </c>
      <c r="T10" s="56">
        <f>IF(Q10=0, 0, MAX(0, MIN(
    IF(R10="", 99999, R10),
    S10/Q10,
    $I$6 - SUM($T$8:T9)
)))</f>
        <v>8.5</v>
      </c>
      <c r="U10" s="56">
        <f t="shared" ref="U10:U18" si="4">T10 * Q10</f>
        <v>8.5</v>
      </c>
      <c r="V10" s="56">
        <f>IF(Q10=0,"",MAX(0,$I$6-SUM($T$9:T10)))</f>
        <v>3.2844465534886069E-2</v>
      </c>
      <c r="W10" s="56">
        <f t="shared" ref="W10:W18" si="5">S10-U10</f>
        <v>31.46</v>
      </c>
      <c r="X10" s="52" t="s">
        <v>423</v>
      </c>
      <c r="Y10" s="56">
        <v>16.829999999999998</v>
      </c>
      <c r="Z10" s="32">
        <f t="shared" ref="Z10:Z18" si="6">Y10-SUMIF($P$9:$P$18,X10,$U$9:$U$18)</f>
        <v>16.829999999999998</v>
      </c>
      <c r="AA10" s="57">
        <v>0</v>
      </c>
      <c r="AB10" s="62">
        <f>$AB$9</f>
        <v>0</v>
      </c>
      <c r="AC10" s="60" t="str">
        <v/>
      </c>
      <c r="AD10" s="56">
        <f>IFERROR(VLOOKUP(AA10, $AI$9:$AJ$13, 2, 0) - SUMIF($AA$8:AA9, AA10, $AF$8:AF9),0)</f>
        <v>0</v>
      </c>
      <c r="AE10" s="56">
        <f>IF(AB10=0, 0, MAX(0, MIN(
    IF(AC10="", 99999, AC10),
    AD10/AB10,
    $I$6 - SUM($AE$8:AE9)
)))</f>
        <v>0</v>
      </c>
      <c r="AF10" s="56">
        <f>AE10 * AB10</f>
        <v>0</v>
      </c>
      <c r="AG10" s="56" t="str">
        <f>IF(AB10=0,"",MAX(0,$I$6-SUM($AE$9:AE10)))</f>
        <v/>
      </c>
      <c r="AH10" s="56">
        <f>AD10-AF10</f>
        <v>0</v>
      </c>
      <c r="AI10" s="52" t="s">
        <v>437</v>
      </c>
      <c r="AJ10" s="56">
        <v>0</v>
      </c>
      <c r="AK10" s="32">
        <f>AJ10-SUMIF($AA$9:$AA$13,AI10,$AF$9:$AF$13)</f>
        <v>0</v>
      </c>
    </row>
    <row r="11" spans="5:37" x14ac:dyDescent="0.3">
      <c r="E11" s="57" t="str">
        <v>Deep S 2</v>
      </c>
      <c r="F11" s="62">
        <f t="shared" si="1"/>
        <v>30</v>
      </c>
      <c r="G11" s="60" t="str">
        <v/>
      </c>
      <c r="H11" s="56">
        <f>IFERROR(VLOOKUP(E11, $M$9:$N$17, 2, 0) - SUMIF($E$8:E10, E11, $J$8:J10),0)</f>
        <v>450.48999999999995</v>
      </c>
      <c r="I11" s="56">
        <f>IF(F11=0, 0, MAX(0, MIN(
    IF(G11="", 99999, G11),
    H11/F11,
    $I$6 - SUM($I$8:I10)
)))</f>
        <v>3.7822444655348875</v>
      </c>
      <c r="J11" s="56">
        <f t="shared" si="2"/>
        <v>113.46733396604662</v>
      </c>
      <c r="K11" s="56">
        <f>IF(F11=0,"",MAX(0, $I$6 - SUM($I$9:I11)))</f>
        <v>0</v>
      </c>
      <c r="L11" s="56">
        <f t="shared" ref="L11:L17" si="7">H11-J11</f>
        <v>337.02266603395333</v>
      </c>
      <c r="M11" s="52" t="s">
        <v>412</v>
      </c>
      <c r="N11" s="56">
        <v>354.57799999999997</v>
      </c>
      <c r="O11" s="44">
        <f t="shared" si="0"/>
        <v>0</v>
      </c>
      <c r="P11" s="57" t="str">
        <v>Store 1</v>
      </c>
      <c r="Q11" s="62">
        <f t="shared" si="3"/>
        <v>1</v>
      </c>
      <c r="R11" s="60" t="str">
        <v/>
      </c>
      <c r="S11" s="56">
        <f>IFERROR(VLOOKUP(P11, $X$9:$Y$18, 2, 0) - SUMIF($P$8:P10, P11, $U$8:U10),0)</f>
        <v>17.100000000000001</v>
      </c>
      <c r="T11" s="56">
        <f>IF(Q11=0, 0, MAX(0, MIN(
    IF(R11="", 99999, R11),
    S11/Q11,
    $I$6 - SUM($T$8:T10)
)))</f>
        <v>3.2844465534886069E-2</v>
      </c>
      <c r="U11" s="56">
        <f>T11 * Q11</f>
        <v>3.2844465534886069E-2</v>
      </c>
      <c r="V11" s="56">
        <f>IF(Q11=0,"",MAX(0,$I$6-SUM($T$9:T11)))</f>
        <v>0</v>
      </c>
      <c r="W11" s="56">
        <f t="shared" si="5"/>
        <v>17.067155534465115</v>
      </c>
      <c r="X11" s="52" t="s">
        <v>424</v>
      </c>
      <c r="Y11" s="56">
        <v>18.18</v>
      </c>
      <c r="Z11" s="32">
        <f t="shared" si="6"/>
        <v>9.68</v>
      </c>
      <c r="AA11" s="57">
        <v>0</v>
      </c>
      <c r="AB11" s="62">
        <f>$AB$9</f>
        <v>0</v>
      </c>
      <c r="AC11" s="60" t="str">
        <v/>
      </c>
      <c r="AD11" s="56">
        <f>IFERROR(VLOOKUP(AA11, $AI$9:$AJ$13, 2, 0) - SUMIF($AA$8:AA10, AA11, $AF$8:AF10),0)</f>
        <v>0</v>
      </c>
      <c r="AE11" s="56">
        <f>IF(AB11=0, 0, MAX(0, MIN(
    IF(AC11="", 99999, AC11),
    AD11/AB11,
    $I$6 - SUM($AE$8:AE10)
)))</f>
        <v>0</v>
      </c>
      <c r="AF11" s="56">
        <f>AE11 * AB11</f>
        <v>0</v>
      </c>
      <c r="AG11" s="56" t="str">
        <f>IF(AB11=0,"",MAX(0,$I$6-SUM($AE$9:AE11)))</f>
        <v/>
      </c>
      <c r="AH11" s="56">
        <f>AD11-AF11</f>
        <v>0</v>
      </c>
      <c r="AI11" s="52" t="s">
        <v>438</v>
      </c>
      <c r="AJ11" s="56">
        <v>0</v>
      </c>
      <c r="AK11" s="32">
        <f>AJ11-SUMIF($AA$9:$AA$13,AI11,$AF$9:$AF$13)</f>
        <v>0</v>
      </c>
    </row>
    <row r="12" spans="5:37" x14ac:dyDescent="0.3">
      <c r="E12" s="57">
        <v>0</v>
      </c>
      <c r="F12" s="62">
        <f t="shared" si="1"/>
        <v>30</v>
      </c>
      <c r="G12" s="60" t="str">
        <v/>
      </c>
      <c r="H12" s="56">
        <f>IFERROR(VLOOKUP(E12, $M$9:$N$17, 2, 0) - SUMIF($E$8:E11, E12, $J$8:J11),0)</f>
        <v>0</v>
      </c>
      <c r="I12" s="56">
        <f>IF(F12=0, 0, MAX(0, MIN(
    IF(G12="", 99999, G12),
    H12/F12,
    $I$6 - SUM($I$8:I11)
)))</f>
        <v>0</v>
      </c>
      <c r="J12" s="56">
        <f t="shared" si="2"/>
        <v>0</v>
      </c>
      <c r="K12" s="56">
        <f>IF(F12=0,"",MAX(0, $I$6 - SUM($I$9:I12)))</f>
        <v>0</v>
      </c>
      <c r="L12" s="56">
        <f t="shared" si="7"/>
        <v>0</v>
      </c>
      <c r="M12" s="52" t="s">
        <v>413</v>
      </c>
      <c r="N12" s="56">
        <v>450.48999999999995</v>
      </c>
      <c r="O12" s="32">
        <f t="shared" si="0"/>
        <v>337.02266603395333</v>
      </c>
      <c r="P12" s="57">
        <v>0</v>
      </c>
      <c r="Q12" s="62">
        <f t="shared" si="3"/>
        <v>1</v>
      </c>
      <c r="R12" s="60" t="str">
        <v/>
      </c>
      <c r="S12" s="56">
        <f>IFERROR(VLOOKUP(P12, $X$9:$Y$18, 2, 0) - SUMIF($P$8:P11, P12, $U$8:U11),0)</f>
        <v>0</v>
      </c>
      <c r="T12" s="56">
        <f>IF(Q12=0, 0, MAX(0, MIN(
    IF(R12="", 99999, R12),
    S12/Q12,
    $I$6 - SUM($T$8:T11)
)))</f>
        <v>0</v>
      </c>
      <c r="U12" s="56">
        <f t="shared" si="4"/>
        <v>0</v>
      </c>
      <c r="V12" s="56">
        <f>IF(Q12=0,"",MAX(0,$I$6-SUM($T$9:T12)))</f>
        <v>0</v>
      </c>
      <c r="W12" s="56">
        <f t="shared" si="5"/>
        <v>0</v>
      </c>
      <c r="X12" s="52" t="s">
        <v>425</v>
      </c>
      <c r="Y12" s="56">
        <v>39.96</v>
      </c>
      <c r="Z12" s="32">
        <f t="shared" si="6"/>
        <v>31.46</v>
      </c>
      <c r="AA12" s="57">
        <v>0</v>
      </c>
      <c r="AB12" s="62">
        <f>$AB$9</f>
        <v>0</v>
      </c>
      <c r="AC12" s="60" t="str">
        <v/>
      </c>
      <c r="AD12" s="56">
        <f>IFERROR(VLOOKUP(AA12, $AI$9:$AJ$13, 2, 0) - SUMIF($AA$8:AA11, AA12, $AF$8:AF11),0)</f>
        <v>0</v>
      </c>
      <c r="AE12" s="56">
        <f>IF(AB12=0, 0, MAX(0, MIN(
    IF(AC12="", 99999, AC12),
    AD12/AB12,
    $I$6 - SUM($AE$8:AE11)
)))</f>
        <v>0</v>
      </c>
      <c r="AF12" s="56">
        <f>AE12 * AB12</f>
        <v>0</v>
      </c>
      <c r="AG12" s="56" t="str">
        <f>IF(AB12=0,"",MAX(0,$I$6-SUM($AE$9:AE12)))</f>
        <v/>
      </c>
      <c r="AH12" s="56">
        <f>AD12-AF12</f>
        <v>0</v>
      </c>
      <c r="AI12" s="52" t="s">
        <v>440</v>
      </c>
      <c r="AJ12" s="56">
        <v>0</v>
      </c>
      <c r="AK12" s="32">
        <f>AJ12-SUMIF($AA$9:$AA$13,AI12,$AF$9:$AF$13)</f>
        <v>0</v>
      </c>
    </row>
    <row r="13" spans="5:37" x14ac:dyDescent="0.3">
      <c r="E13" s="57">
        <v>0</v>
      </c>
      <c r="F13" s="62">
        <f t="shared" si="1"/>
        <v>30</v>
      </c>
      <c r="G13" s="60" t="str">
        <v/>
      </c>
      <c r="H13" s="56">
        <f>IFERROR(VLOOKUP(E13, $M$9:$N$17, 2, 0) - SUMIF($E$8:E12, E13, $J$8:J12),0)</f>
        <v>0</v>
      </c>
      <c r="I13" s="56">
        <f>IF(F13=0, 0, MAX(0, MIN(
    IF(G13="", 99999, G13),
    H13/F13,
    $I$6 - SUM($I$8:I12)
)))</f>
        <v>0</v>
      </c>
      <c r="J13" s="56">
        <f>I13 * F13</f>
        <v>0</v>
      </c>
      <c r="K13" s="56">
        <f>IF(F13=0,"",MAX(0, $I$6 - SUM($I$9:I13)))</f>
        <v>0</v>
      </c>
      <c r="L13" s="56">
        <f t="shared" si="7"/>
        <v>0</v>
      </c>
      <c r="M13" s="52" t="s">
        <v>414</v>
      </c>
      <c r="N13" s="56">
        <v>42.94</v>
      </c>
      <c r="O13" s="32">
        <f t="shared" si="0"/>
        <v>0</v>
      </c>
      <c r="P13" s="57">
        <v>0</v>
      </c>
      <c r="Q13" s="62">
        <f t="shared" si="3"/>
        <v>1</v>
      </c>
      <c r="R13" s="60" t="str">
        <v/>
      </c>
      <c r="S13" s="56">
        <f>IFERROR(VLOOKUP(P13, $X$9:$Y$18, 2, 0) - SUMIF($P$8:P12, P13, $U$8:U12),0)</f>
        <v>0</v>
      </c>
      <c r="T13" s="56">
        <f>IF(Q13=0, 0, MAX(0, MIN(
    IF(R13="", 99999, R13),
    S13/Q13,
    $I$6 - SUM($T$8:T12)
)))</f>
        <v>0</v>
      </c>
      <c r="U13" s="56">
        <f t="shared" si="4"/>
        <v>0</v>
      </c>
      <c r="V13" s="56">
        <f>IF(Q13=0,"",MAX(0,$I$6-SUM($T$9:T13)))</f>
        <v>0</v>
      </c>
      <c r="W13" s="56">
        <f t="shared" si="5"/>
        <v>0</v>
      </c>
      <c r="X13" s="52" t="s">
        <v>426</v>
      </c>
      <c r="Y13" s="56">
        <v>0</v>
      </c>
      <c r="Z13" s="32">
        <f t="shared" si="6"/>
        <v>0</v>
      </c>
      <c r="AA13" s="57">
        <v>0</v>
      </c>
      <c r="AB13" s="62">
        <f>$AB$9</f>
        <v>0</v>
      </c>
      <c r="AC13" s="60" t="str">
        <v/>
      </c>
      <c r="AD13" s="56">
        <f>IFERROR(VLOOKUP(AA13, $AI$9:$AJ$13, 2, 0) - SUMIF($AA$8:AA12, AA13, $AF$8:AF12),0)</f>
        <v>0</v>
      </c>
      <c r="AE13" s="56">
        <f>IF(AB13=0, 0, MAX(0, MIN(
    IF(AC13="", 99999, AC13),
    AD13/AB13,
    $I$6 - SUM($AE$8:AE12)
)))</f>
        <v>0</v>
      </c>
      <c r="AF13" s="56">
        <f>AE13 * AB13</f>
        <v>0</v>
      </c>
      <c r="AG13" s="56" t="str">
        <f>IF(AB13=0,"",MAX(0,$I$6-SUM($AE$9:AE13)))</f>
        <v/>
      </c>
      <c r="AH13" s="56">
        <f>AD13-AF13</f>
        <v>0</v>
      </c>
      <c r="AI13" s="52" t="s">
        <v>439</v>
      </c>
      <c r="AJ13" s="56">
        <v>0</v>
      </c>
      <c r="AK13" s="32">
        <f>AJ13-SUMIF($AA$9:$AA$13,AI13,$AF$9:$AF$13)</f>
        <v>0</v>
      </c>
    </row>
    <row r="14" spans="5:37" x14ac:dyDescent="0.3">
      <c r="E14" s="57">
        <v>0</v>
      </c>
      <c r="F14" s="62">
        <f t="shared" si="1"/>
        <v>30</v>
      </c>
      <c r="G14" s="60" t="str">
        <v/>
      </c>
      <c r="H14" s="56">
        <f>IFERROR(VLOOKUP(E14, $M$9:$N$17, 2, 0) - SUMIF($E$8:E13, E14, $J$8:J13),0)</f>
        <v>0</v>
      </c>
      <c r="I14" s="56">
        <f>IF(F14=0, 0, MAX(0, MIN(
    IF(G14="", 99999, G14),
    H14/F14,
    $I$6 - SUM($I$8:I13)
)))</f>
        <v>0</v>
      </c>
      <c r="J14" s="56">
        <f t="shared" si="2"/>
        <v>0</v>
      </c>
      <c r="K14" s="56">
        <f>IF(F14=0,"",MAX(0, $I$6 - SUM($I$9:I14)))</f>
        <v>0</v>
      </c>
      <c r="L14" s="56">
        <f t="shared" si="7"/>
        <v>0</v>
      </c>
      <c r="M14" s="52" t="s">
        <v>415</v>
      </c>
      <c r="N14" s="56">
        <v>0</v>
      </c>
      <c r="O14" s="32">
        <f t="shared" si="0"/>
        <v>0</v>
      </c>
      <c r="P14" s="57">
        <v>0</v>
      </c>
      <c r="Q14" s="62">
        <f t="shared" si="3"/>
        <v>1</v>
      </c>
      <c r="R14" s="60" t="str">
        <v/>
      </c>
      <c r="S14" s="56">
        <f>IFERROR(VLOOKUP(P14, $X$9:$Y$18, 2, 0) - SUMIF($P$8:P13, P14, $U$8:U13),0)</f>
        <v>0</v>
      </c>
      <c r="T14" s="56">
        <f>IF(Q14=0, 0, MAX(0, MIN(
    IF(R14="", 99999, R14),
    S14/Q14,
    $I$6 - SUM($T$8:T13)
)))</f>
        <v>0</v>
      </c>
      <c r="U14" s="56">
        <f t="shared" si="4"/>
        <v>0</v>
      </c>
      <c r="V14" s="56">
        <f>IF(Q14=0,"",MAX(0,$I$6-SUM($T$9:T14)))</f>
        <v>0</v>
      </c>
      <c r="W14" s="56">
        <f t="shared" si="5"/>
        <v>0</v>
      </c>
      <c r="X14" s="52" t="s">
        <v>427</v>
      </c>
      <c r="Y14" s="56">
        <v>0</v>
      </c>
      <c r="Z14" s="32">
        <f t="shared" si="6"/>
        <v>0</v>
      </c>
      <c r="AE14" s="54" t="s">
        <v>441</v>
      </c>
      <c r="AF14" s="56">
        <f>SUM(AF9:AF13)</f>
        <v>0</v>
      </c>
    </row>
    <row r="15" spans="5:37" x14ac:dyDescent="0.3">
      <c r="E15" s="57">
        <v>0</v>
      </c>
      <c r="F15" s="62">
        <f t="shared" si="1"/>
        <v>30</v>
      </c>
      <c r="G15" s="60" t="str">
        <v/>
      </c>
      <c r="H15" s="56">
        <f>IFERROR(VLOOKUP(E15, $M$9:$N$17, 2, 0) - SUMIF($E$8:E14, E15, $J$8:J14),0)</f>
        <v>0</v>
      </c>
      <c r="I15" s="56">
        <f>IF(F15=0, 0, MAX(0, MIN(
    IF(G15="", 99999, G15),
    H15/F15,
    $I$6 - SUM($I$8:I14)
)))</f>
        <v>0</v>
      </c>
      <c r="J15" s="56">
        <f t="shared" si="2"/>
        <v>0</v>
      </c>
      <c r="K15" s="56">
        <f>IF(F15=0,"",MAX(0, $I$6 - SUM($I$9:I15)))</f>
        <v>0</v>
      </c>
      <c r="L15" s="56">
        <f t="shared" si="7"/>
        <v>0</v>
      </c>
      <c r="M15" s="52" t="s">
        <v>416</v>
      </c>
      <c r="N15" s="56">
        <v>42.94</v>
      </c>
      <c r="O15" s="32">
        <f t="shared" si="0"/>
        <v>42.94</v>
      </c>
      <c r="P15" s="57">
        <v>0</v>
      </c>
      <c r="Q15" s="62">
        <f t="shared" si="3"/>
        <v>1</v>
      </c>
      <c r="R15" s="60" t="str">
        <v/>
      </c>
      <c r="S15" s="56">
        <f>IFERROR(VLOOKUP(P15, $X$9:$Y$18, 2, 0) - SUMIF($P$8:P14, P15, $U$8:U14),0)</f>
        <v>0</v>
      </c>
      <c r="T15" s="56">
        <f>IF(Q15=0, 0, MAX(0, MIN(
    IF(R15="", 99999, R15),
    S15/Q15,
    $I$6 - SUM($T$8:T14)
)))</f>
        <v>0</v>
      </c>
      <c r="U15" s="56">
        <f t="shared" si="4"/>
        <v>0</v>
      </c>
      <c r="V15" s="56">
        <f>IF(Q15=0,"",MAX(0,$I$6-SUM($T$9:T15)))</f>
        <v>0</v>
      </c>
      <c r="W15" s="56">
        <f t="shared" si="5"/>
        <v>0</v>
      </c>
      <c r="X15" s="52" t="s">
        <v>428</v>
      </c>
      <c r="Y15" s="56">
        <v>0</v>
      </c>
      <c r="Z15" s="32">
        <f t="shared" si="6"/>
        <v>0</v>
      </c>
    </row>
    <row r="16" spans="5:37" x14ac:dyDescent="0.3">
      <c r="E16" s="57">
        <v>0</v>
      </c>
      <c r="F16" s="62">
        <f t="shared" si="1"/>
        <v>30</v>
      </c>
      <c r="G16" s="60" t="str">
        <v/>
      </c>
      <c r="H16" s="56">
        <f>IFERROR(VLOOKUP(E16, $M$9:$N$17, 2, 0) - SUMIF($E$8:E15, E16, $J$8:J15),0)</f>
        <v>0</v>
      </c>
      <c r="I16" s="56">
        <f>IF(F16=0, 0, MAX(0, MIN(
    IF(G16="", 99999, G16),
    H16/F16,
    $I$6 - SUM($I$8:I15)
)))</f>
        <v>0</v>
      </c>
      <c r="J16" s="56">
        <f t="shared" si="2"/>
        <v>0</v>
      </c>
      <c r="K16" s="56">
        <f>IF(F16=0,"",MAX(0, $I$6 - SUM($I$9:I16)))</f>
        <v>0</v>
      </c>
      <c r="L16" s="56">
        <f t="shared" si="7"/>
        <v>0</v>
      </c>
      <c r="M16" s="52" t="s">
        <v>417</v>
      </c>
      <c r="N16" s="56">
        <v>8.5879999999999992</v>
      </c>
      <c r="O16" s="32">
        <f t="shared" si="0"/>
        <v>8.5879999999999992</v>
      </c>
      <c r="P16" s="57">
        <v>0</v>
      </c>
      <c r="Q16" s="62">
        <f t="shared" si="3"/>
        <v>1</v>
      </c>
      <c r="R16" s="60" t="str">
        <v/>
      </c>
      <c r="S16" s="56">
        <f>IFERROR(VLOOKUP(P16, $X$9:$Y$18, 2, 0) - SUMIF($P$8:P15, P16, $U$8:U15),0)</f>
        <v>0</v>
      </c>
      <c r="T16" s="56">
        <f>IF(Q16=0, 0, MAX(0, MIN(
    IF(R16="", 99999, R16),
    S16/Q16,
    $I$6 - SUM($T$8:T15)
)))</f>
        <v>0</v>
      </c>
      <c r="U16" s="56">
        <f t="shared" si="4"/>
        <v>0</v>
      </c>
      <c r="V16" s="56">
        <f>IF(Q16=0,"",MAX(0,$I$6-SUM($T$9:T16)))</f>
        <v>0</v>
      </c>
      <c r="W16" s="56">
        <f t="shared" si="5"/>
        <v>0</v>
      </c>
      <c r="X16" s="52" t="s">
        <v>429</v>
      </c>
      <c r="Y16" s="56">
        <v>1.08</v>
      </c>
      <c r="Z16" s="32">
        <f t="shared" si="6"/>
        <v>1.08</v>
      </c>
      <c r="AA16" s="54" t="s">
        <v>75</v>
      </c>
      <c r="AB16" s="52" t="s">
        <v>476</v>
      </c>
      <c r="AC16" s="52" t="s">
        <v>400</v>
      </c>
      <c r="AD16" s="52" t="s">
        <v>443</v>
      </c>
      <c r="AE16" s="52" t="s">
        <v>401</v>
      </c>
      <c r="AF16" s="52" t="s">
        <v>402</v>
      </c>
      <c r="AG16" s="52" t="s">
        <v>403</v>
      </c>
      <c r="AH16" s="52" t="s">
        <v>444</v>
      </c>
      <c r="AJ16" s="52" t="s">
        <v>421</v>
      </c>
      <c r="AK16" s="29" t="s">
        <v>463</v>
      </c>
    </row>
    <row r="17" spans="5:37" x14ac:dyDescent="0.3">
      <c r="E17" s="57">
        <v>0</v>
      </c>
      <c r="F17" s="62">
        <f t="shared" si="1"/>
        <v>30</v>
      </c>
      <c r="G17" s="60" t="str">
        <v/>
      </c>
      <c r="H17" s="56">
        <f>IFERROR(VLOOKUP(E17, $M$9:$N$17, 2, 0) - SUMIF($E$8:E16, E17, $J$8:J16),0)</f>
        <v>0</v>
      </c>
      <c r="I17" s="56">
        <f>IF(F17=0, 0, MAX(0, MIN(
    IF(G17="", 99999, G17),
    H17/F17,
    $I$6 - SUM($I$8:I16)
)))</f>
        <v>0</v>
      </c>
      <c r="J17" s="56">
        <f t="shared" si="2"/>
        <v>0</v>
      </c>
      <c r="K17" s="56">
        <f>IF(F17=0,"",MAX(0, $I$6 - SUM($I$9:I17)))</f>
        <v>0</v>
      </c>
      <c r="L17" s="56">
        <f t="shared" si="7"/>
        <v>0</v>
      </c>
      <c r="M17" s="52" t="s">
        <v>418</v>
      </c>
      <c r="N17" s="56">
        <v>4.3890000000000002</v>
      </c>
      <c r="O17" s="32">
        <f t="shared" si="0"/>
        <v>4.3890000000000002</v>
      </c>
      <c r="P17" s="57">
        <v>0</v>
      </c>
      <c r="Q17" s="62">
        <f t="shared" si="3"/>
        <v>1</v>
      </c>
      <c r="R17" s="60" t="str">
        <v/>
      </c>
      <c r="S17" s="56">
        <f>IFERROR(VLOOKUP(P17, $X$9:$Y$18, 2, 0) - SUMIF($P$8:P16, P17, $U$8:U16),0)</f>
        <v>0</v>
      </c>
      <c r="T17" s="56">
        <f>IF(Q17=0, 0, MAX(0, MIN(
    IF(R17="", 99999, R17),
    S17/Q17,
    $I$6 - SUM($T$8:T16)
)))</f>
        <v>0</v>
      </c>
      <c r="U17" s="56">
        <f t="shared" si="4"/>
        <v>0</v>
      </c>
      <c r="V17" s="56">
        <f>IF(Q17=0,"",MAX(0,$I$6-SUM($T$9:T17)))</f>
        <v>0</v>
      </c>
      <c r="W17" s="56">
        <f t="shared" si="5"/>
        <v>0</v>
      </c>
      <c r="X17" s="52" t="s">
        <v>430</v>
      </c>
      <c r="Y17" s="56">
        <v>0.72000000000000008</v>
      </c>
      <c r="Z17" s="32">
        <f t="shared" si="6"/>
        <v>0.72000000000000008</v>
      </c>
      <c r="AA17" s="57" t="str" cm="1">
        <f t="array" ref="AA17:AA18">Interfaz!M266:M267</f>
        <v>FW Tk P</v>
      </c>
      <c r="AB17" s="60">
        <f>Interfaz!J150</f>
        <v>2</v>
      </c>
      <c r="AC17" s="72" t="str" cm="1">
        <f t="array" ref="AC17:AC18">Interfaz!P266:P267</f>
        <v/>
      </c>
      <c r="AD17" s="56">
        <f>IFERROR(VLOOKUP(AA17, $AI$17:$AJ$18, 2, 0) - SUMIF($AA$16:AA16, AA17, $AF$16:AF16),0)</f>
        <v>119.5</v>
      </c>
      <c r="AE17" s="56">
        <f>IF(AB17=0, 0, MAX(0, MIN(
    IF(AC17="", 99999, AC17),
    AD17/AB17,
    $I$6 - SUM($AE$16:AE16)
)))</f>
        <v>17.032844465534886</v>
      </c>
      <c r="AF17" s="56">
        <f>AE17 * AB17</f>
        <v>34.065688931069772</v>
      </c>
      <c r="AG17" s="56">
        <f>IF(AB17=0,"",MAX(0,$I$6-SUM($AE$17:AE17)))</f>
        <v>0</v>
      </c>
      <c r="AH17" s="56">
        <f>AD17-AF17</f>
        <v>85.434311068930228</v>
      </c>
      <c r="AI17" s="52" t="s">
        <v>76</v>
      </c>
      <c r="AJ17" s="56" cm="1">
        <f t="array" ref="AJ17:AJ18">'Carga y Reparto'!O76:O77</f>
        <v>119.5</v>
      </c>
      <c r="AK17" s="32">
        <f>AJ17-SUMIF($AA$17:$AA$18,AI17,$AF$17:$AF$18)</f>
        <v>85.434311068930228</v>
      </c>
    </row>
    <row r="18" spans="5:37" x14ac:dyDescent="0.3">
      <c r="I18" s="54" t="s">
        <v>419</v>
      </c>
      <c r="J18" s="56">
        <f>SUM(J9:J17)</f>
        <v>510.9853339660466</v>
      </c>
      <c r="P18" s="57">
        <v>0</v>
      </c>
      <c r="Q18" s="62">
        <f t="shared" si="3"/>
        <v>1</v>
      </c>
      <c r="R18" s="60" t="str">
        <v/>
      </c>
      <c r="S18" s="56">
        <f>IFERROR(VLOOKUP(P18, $X$9:$Y$18, 2, 0) - SUMIF($P$8:P17, P18, $U$8:U17),0)</f>
        <v>0</v>
      </c>
      <c r="T18" s="56">
        <f>IF(Q18=0, 0, MAX(0, MIN(
    IF(R18="", 99999, R18),
    S18/Q18,
    $I$6 - SUM($T$8:T17)
)))</f>
        <v>0</v>
      </c>
      <c r="U18" s="56">
        <f t="shared" si="4"/>
        <v>0</v>
      </c>
      <c r="V18" s="56">
        <f>IF(Q18=0,"",MAX(0,$I$6-SUM($T$9:T18)))</f>
        <v>0</v>
      </c>
      <c r="W18" s="56">
        <f t="shared" si="5"/>
        <v>0</v>
      </c>
      <c r="X18" s="52" t="s">
        <v>431</v>
      </c>
      <c r="Y18" s="56">
        <v>0.72000000000000008</v>
      </c>
      <c r="Z18" s="32">
        <f t="shared" si="6"/>
        <v>0.72000000000000008</v>
      </c>
      <c r="AA18" s="57">
        <v>0</v>
      </c>
      <c r="AB18" s="62">
        <f>$AB$17</f>
        <v>2</v>
      </c>
      <c r="AC18" s="60" t="str">
        <v/>
      </c>
      <c r="AD18" s="56">
        <f>IFERROR(VLOOKUP(AA18, $AI$17:$AJ$18, 2, 0) - SUMIF($AA$16:AA17, AA18, $AF$16:AF17),0)</f>
        <v>0</v>
      </c>
      <c r="AE18" s="56">
        <f>IF(AB18=0, 0, MAX(0, MIN(
    IF(AC18="", 99999, AC18),
    AD18/AB18,
    $I$6 - SUM($AE$16:AE17)
)))</f>
        <v>0</v>
      </c>
      <c r="AF18" s="56">
        <f>AE18 * AB18</f>
        <v>0</v>
      </c>
      <c r="AG18" s="56">
        <f>IF(AB18=0,"",MAX(0,$I$6-SUM($AE$17:AE18)))</f>
        <v>0</v>
      </c>
      <c r="AH18" s="56">
        <f>AD18-AF18</f>
        <v>0</v>
      </c>
      <c r="AI18" s="52" t="s">
        <v>77</v>
      </c>
      <c r="AJ18" s="56">
        <v>0</v>
      </c>
      <c r="AK18" s="32">
        <f>AJ18-SUMIF($AA$17:$AA$18,AI18,$AF$17:$AF$18)</f>
        <v>0</v>
      </c>
    </row>
    <row r="19" spans="5:37" x14ac:dyDescent="0.3">
      <c r="T19" s="54" t="s">
        <v>432</v>
      </c>
      <c r="U19" s="56">
        <f>SUM(U9:U18)</f>
        <v>17.032844465534886</v>
      </c>
      <c r="AE19" s="54" t="s">
        <v>442</v>
      </c>
      <c r="AF19" s="56">
        <f>SUM(AF17:AF18)</f>
        <v>34.065688931069772</v>
      </c>
    </row>
    <row r="20" spans="5:37" x14ac:dyDescent="0.3">
      <c r="E20" s="54" t="s">
        <v>57</v>
      </c>
      <c r="F20" s="52" t="s">
        <v>472</v>
      </c>
      <c r="G20" s="52" t="s">
        <v>400</v>
      </c>
      <c r="H20" s="52" t="s">
        <v>443</v>
      </c>
      <c r="I20" s="52" t="s">
        <v>401</v>
      </c>
      <c r="J20" s="52" t="s">
        <v>402</v>
      </c>
      <c r="K20" s="52" t="s">
        <v>403</v>
      </c>
      <c r="L20" s="52" t="s">
        <v>444</v>
      </c>
      <c r="N20" s="52" t="s">
        <v>421</v>
      </c>
      <c r="O20" s="29" t="s">
        <v>463</v>
      </c>
      <c r="AF20" s="56"/>
    </row>
    <row r="21" spans="5:37" x14ac:dyDescent="0.3">
      <c r="E21" s="57" t="str" cm="1">
        <f t="array" ref="E21:E24">Interfaz!I255:I258</f>
        <v>Service 1</v>
      </c>
      <c r="F21" s="60">
        <f>Interfaz!F150</f>
        <v>3</v>
      </c>
      <c r="G21" s="60" cm="1">
        <f t="array" ref="G21:G24">Interfaz!L255:L258</f>
        <v>3</v>
      </c>
      <c r="H21" s="56">
        <f>IFERROR(VLOOKUP(E21, $M$21:$N$24, 2, 0) - SUMIF($E$20:E20, E21, $J$20:J20),0)</f>
        <v>12.486499999999999</v>
      </c>
      <c r="I21" s="56">
        <f>IF(F21=0, 0, MAX(0, MIN(
    IF(G21="", 99999, G21),
    H21/F21,
    $I$6 - SUM($I$20:I20)
)))</f>
        <v>3</v>
      </c>
      <c r="J21" s="56">
        <f>I21 * F21</f>
        <v>9</v>
      </c>
      <c r="K21" s="56">
        <f>IF(F21=0,"",MAX(0,$I$6-SUM($I$21:I21)))</f>
        <v>14.032844465534886</v>
      </c>
      <c r="L21" s="56">
        <f>H21-J21</f>
        <v>3.4864999999999995</v>
      </c>
      <c r="M21" s="52" t="s">
        <v>404</v>
      </c>
      <c r="N21" s="56" cm="1">
        <f t="array" ref="N21:N24">'Carga y Reparto'!O29:O32</f>
        <v>141.52500000000001</v>
      </c>
      <c r="O21" s="32">
        <f>N21-SUMIF($E$21:$E$24,M21,$J$21:$J$24)</f>
        <v>114.42646660339534</v>
      </c>
      <c r="P21" s="54" t="s">
        <v>79</v>
      </c>
      <c r="Q21" s="52" t="s">
        <v>474</v>
      </c>
      <c r="R21" s="52" t="s">
        <v>400</v>
      </c>
      <c r="S21" s="52" t="s">
        <v>443</v>
      </c>
      <c r="T21" s="52" t="s">
        <v>401</v>
      </c>
      <c r="U21" s="52" t="s">
        <v>402</v>
      </c>
      <c r="V21" s="52" t="s">
        <v>403</v>
      </c>
      <c r="W21" s="52" t="s">
        <v>444</v>
      </c>
      <c r="Y21" s="52" t="s">
        <v>421</v>
      </c>
      <c r="Z21" s="29" t="s">
        <v>463</v>
      </c>
    </row>
    <row r="22" spans="5:37" x14ac:dyDescent="0.3">
      <c r="E22" s="57" t="str">
        <v>Service 2</v>
      </c>
      <c r="F22" s="62">
        <f>$F$21</f>
        <v>3</v>
      </c>
      <c r="G22" s="60">
        <v>5</v>
      </c>
      <c r="H22" s="56">
        <f>IFERROR(VLOOKUP(E22, $M$21:$N$24, 2, 0) - SUMIF($E$20:E21, E22, $J$20:J21),0)</f>
        <v>19.662000000000003</v>
      </c>
      <c r="I22" s="56">
        <f>IF(F22=0, 0, MAX(0, MIN(
    IF(G22="", 99999, G22),
    H22/F22,
    $I$6 - SUM($I$20:I21)
)))</f>
        <v>5</v>
      </c>
      <c r="J22" s="56">
        <f>I22 * F22</f>
        <v>15</v>
      </c>
      <c r="K22" s="56">
        <f>IF(F22=0,"",MAX(0,$I$6-SUM($I$21:I22)))</f>
        <v>9.0328444655348861</v>
      </c>
      <c r="L22" s="56">
        <f>H22-J22</f>
        <v>4.6620000000000026</v>
      </c>
      <c r="M22" s="52" t="s">
        <v>405</v>
      </c>
      <c r="N22" s="56">
        <v>12.486499999999999</v>
      </c>
      <c r="O22" s="32">
        <f>N22-SUMIF($E$21:$E$24,M22,$J$21:$J$24)</f>
        <v>3.4864999999999995</v>
      </c>
      <c r="P22" s="57" cm="1">
        <f t="array" ref="P22:P24">Interfaz!M255:M257</f>
        <v>0</v>
      </c>
      <c r="Q22" s="60">
        <f>Interfaz!H150</f>
        <v>0</v>
      </c>
      <c r="R22" s="60" t="str" cm="1">
        <f t="array" ref="R22:R24">Interfaz!P255:P257</f>
        <v/>
      </c>
      <c r="S22" s="56">
        <f>IFERROR(VLOOKUP(P22, $X$22:$Y$24, 2, 0) - SUMIF($P$21:P21, P22, $U$21:U21),0)</f>
        <v>0</v>
      </c>
      <c r="T22" s="56">
        <f>IF(Q22=0, 0, MAX(0, MIN(
    IF(R22="", 99999, R22),
    S22/Q22,
    $I$6 - SUM($T$21:T21)
)))</f>
        <v>0</v>
      </c>
      <c r="U22" s="56">
        <f>T22 * Q22</f>
        <v>0</v>
      </c>
      <c r="V22" s="56" t="str">
        <f>IF(Q22=0,"",MAX(0,$I$6-SUM($T$22:T22)))</f>
        <v/>
      </c>
      <c r="W22" s="56">
        <f>S22-U22</f>
        <v>0</v>
      </c>
      <c r="X22" s="52" t="s">
        <v>433</v>
      </c>
      <c r="Y22" s="56" cm="1">
        <f t="array" ref="Y22:Y24">'Carga y Reparto'!O81:O83</f>
        <v>0</v>
      </c>
      <c r="Z22" s="32">
        <f>Y22-SUMIF($P$22:$P$24,X22,$U$22:$U$24)</f>
        <v>0</v>
      </c>
    </row>
    <row r="23" spans="5:37" x14ac:dyDescent="0.3">
      <c r="E23" s="57" t="str">
        <v>Deep S</v>
      </c>
      <c r="F23" s="62">
        <f>$F$21</f>
        <v>3</v>
      </c>
      <c r="G23" s="60" t="str">
        <v/>
      </c>
      <c r="H23" s="56">
        <f>IFERROR(VLOOKUP(E23, $M$21:$N$24, 2, 0) - SUMIF($E$20:E22, E23, $J$20:J22),0)</f>
        <v>141.52500000000001</v>
      </c>
      <c r="I23" s="56">
        <f>IF(F23=0, 0, MAX(0, MIN(
    IF(G23="", 99999, G23),
    H23/F23,
    $I$6 - SUM($I$20:I22)
)))</f>
        <v>9.0328444655348861</v>
      </c>
      <c r="J23" s="56">
        <f>I23 * F23</f>
        <v>27.098533396604658</v>
      </c>
      <c r="K23" s="56">
        <f>IF(F23=0,"",MAX(0,$I$6-SUM($I$21:I23)))</f>
        <v>0</v>
      </c>
      <c r="L23" s="56">
        <f>H23-J23</f>
        <v>114.42646660339534</v>
      </c>
      <c r="M23" s="52" t="s">
        <v>406</v>
      </c>
      <c r="N23" s="56">
        <v>19.662000000000003</v>
      </c>
      <c r="O23" s="32">
        <f>N23-SUMIF($E$21:$E$24,M23,$J$21:$J$24)</f>
        <v>4.6620000000000026</v>
      </c>
      <c r="P23" s="57">
        <v>0</v>
      </c>
      <c r="Q23" s="62">
        <f>$Q$22</f>
        <v>0</v>
      </c>
      <c r="R23" s="60" t="str">
        <v/>
      </c>
      <c r="S23" s="56">
        <f>IFERROR(VLOOKUP(P23, $X$22:$Y$24, 2, 0) - SUMIF($P$21:P22, P23, $U$21:U22),0)</f>
        <v>0</v>
      </c>
      <c r="T23" s="56">
        <f>IF(Q23=0, 0, MAX(0, MIN(
    IF(R23="", 99999, R23),
    S23/Q23,
    $I$6 - SUM($T$21:T22)
)))</f>
        <v>0</v>
      </c>
      <c r="U23" s="56">
        <f>T23 * Q23</f>
        <v>0</v>
      </c>
      <c r="V23" s="56" t="str">
        <f>IF(Q23=0,"",MAX(0,$I$6-SUM($T$22:T23)))</f>
        <v/>
      </c>
      <c r="W23" s="56">
        <f>S23-U23</f>
        <v>0</v>
      </c>
      <c r="X23" s="52" t="s">
        <v>434</v>
      </c>
      <c r="Y23" s="56">
        <v>0</v>
      </c>
      <c r="Z23" s="32">
        <f>Y23-SUMIF($P$22:$P$24,X23,$U$22:$U$24)</f>
        <v>0</v>
      </c>
    </row>
    <row r="24" spans="5:37" x14ac:dyDescent="0.3">
      <c r="E24" s="57">
        <v>0</v>
      </c>
      <c r="F24" s="62">
        <f>$F$21</f>
        <v>3</v>
      </c>
      <c r="G24" s="60" t="str">
        <v/>
      </c>
      <c r="H24" s="56">
        <f>IFERROR(VLOOKUP(E24, $M$21:$N$24, 2, 0) - SUMIF($E$20:E23, E24, $J$20:J23),0)</f>
        <v>0</v>
      </c>
      <c r="I24" s="56">
        <f>IF(F24=0, 0, MAX(0, MIN(
    IF(G24="", 99999, G24),
    H24/F24,
    $I$6 - SUM($I$20:I23)
)))</f>
        <v>0</v>
      </c>
      <c r="J24" s="56">
        <f>I24 * F24</f>
        <v>0</v>
      </c>
      <c r="K24" s="56">
        <f>IF(F24=0,"",MAX(0,$I$6-SUM($I$21:I24)))</f>
        <v>0</v>
      </c>
      <c r="L24" s="56">
        <f>H24-J24</f>
        <v>0</v>
      </c>
      <c r="M24" s="52" t="s">
        <v>407</v>
      </c>
      <c r="N24" s="56">
        <v>3.4578000000000002</v>
      </c>
      <c r="O24" s="32">
        <f>N24-SUMIF($E$21:$E$24,M24,$J$21:$J$24)</f>
        <v>3.4578000000000002</v>
      </c>
      <c r="P24" s="57">
        <v>0</v>
      </c>
      <c r="Q24" s="62">
        <f>$Q$22</f>
        <v>0</v>
      </c>
      <c r="R24" s="60" t="str">
        <v/>
      </c>
      <c r="S24" s="56">
        <f>IFERROR(VLOOKUP(P24, $X$22:$Y$24, 2, 0) - SUMIF($P$21:P23, P24, $U$21:U23),0)</f>
        <v>0</v>
      </c>
      <c r="T24" s="56">
        <f>IF(Q24=0, 0, MAX(0, MIN(
    IF(R24="", 99999, R24),
    S24/Q24,
    $I$6 - SUM($T$21:T23)
)))</f>
        <v>0</v>
      </c>
      <c r="U24" s="56">
        <f>T24 * Q24</f>
        <v>0</v>
      </c>
      <c r="V24" s="56" t="str">
        <f>IF(Q24=0,"",MAX(0,$I$6-SUM($T$22:T24)))</f>
        <v/>
      </c>
      <c r="W24" s="56">
        <f>S24-U24</f>
        <v>0</v>
      </c>
      <c r="X24" s="52" t="s">
        <v>435</v>
      </c>
      <c r="Y24" s="56">
        <v>0</v>
      </c>
      <c r="Z24" s="32">
        <f>Y24-SUMIF($P$22:$P$24,X24,$U$22:$U$24)</f>
        <v>0</v>
      </c>
    </row>
    <row r="25" spans="5:37" x14ac:dyDescent="0.3">
      <c r="I25" s="54" t="s">
        <v>409</v>
      </c>
      <c r="J25" s="56">
        <f>SUM(J21:J24)</f>
        <v>51.098533396604658</v>
      </c>
      <c r="T25" s="54" t="s">
        <v>436</v>
      </c>
      <c r="U25" s="56">
        <f>SUM(U22:U24)</f>
        <v>0</v>
      </c>
    </row>
    <row r="29" spans="5:37" x14ac:dyDescent="0.3">
      <c r="M29" s="8">
        <f>IF(SUM($I$20:I20)&gt;='Condición Día D'!$AL$7, 0, IF(SUM($I$21:I21)&lt;='Condición Día D'!$AL$7, Consumos!J21, Consumos!F21*('Condición Día D'!$AL$7-SUM($I$20:I20))))</f>
        <v>9</v>
      </c>
    </row>
    <row r="31" spans="5:37" x14ac:dyDescent="0.3">
      <c r="K31" s="28"/>
      <c r="M31" s="8" cm="1">
        <f t="array" ref="M31">IF(SUM($I$9:I9)&lt;'Condición Día D'!$AL$7,Consumos!J9,IF(SUM($I$9:I9)&gt;'Condición Día D'!$AL$7,Consumos!F9*('Condición Día D'!$AL$7-SUM(Consumos!$I$8:I8)),IF(AND(SUM(Consumos!$I$9:I9)&gt;'Condición Día D'!$AL$7,'Condición Día D'!$AL$7-SUM(Consumos!$I$8:I8&lt;0)),0)))</f>
        <v>210</v>
      </c>
    </row>
  </sheetData>
  <phoneticPr fontId="18" type="noConversion"/>
  <conditionalFormatting sqref="AK8:AK13 O8:O17 Z8:Z18 AK16:AK18 O20:O24 Z21:Z24">
    <cfRule type="expression" dxfId="190" priority="7">
      <formula>$N$6="Ocultar"</formula>
    </cfRule>
  </conditionalFormatting>
  <dataValidations count="1">
    <dataValidation type="list" allowBlank="1" showInputMessage="1" showErrorMessage="1" sqref="N6" xr:uid="{FE5A346A-98A2-4B72-AC3E-B65EAC8F210B}">
      <formula1>"Ver Cuentas, Ocultar"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ABA9-EB87-4282-9B79-27961F4F7596}">
  <sheetPr>
    <tabColor rgb="FF223B82"/>
  </sheetPr>
  <dimension ref="E7:AK33"/>
  <sheetViews>
    <sheetView topLeftCell="L1" workbookViewId="0">
      <selection activeCell="R10" sqref="R10"/>
    </sheetView>
    <sheetView workbookViewId="1"/>
  </sheetViews>
  <sheetFormatPr baseColWidth="10" defaultRowHeight="14.4" x14ac:dyDescent="0.3"/>
  <cols>
    <col min="1" max="3" width="11.5546875" style="8"/>
    <col min="4" max="4" width="8.21875" style="8" customWidth="1"/>
    <col min="5" max="11" width="11.5546875" style="8"/>
    <col min="12" max="19" width="11.6640625" style="8" bestFit="1" customWidth="1"/>
    <col min="20" max="29" width="11.5546875" style="8"/>
    <col min="30" max="30" width="12.77734375" style="8" bestFit="1" customWidth="1"/>
    <col min="31" max="16384" width="11.5546875" style="8"/>
  </cols>
  <sheetData>
    <row r="7" spans="5:36" x14ac:dyDescent="0.3">
      <c r="E7" s="54" t="s">
        <v>345</v>
      </c>
      <c r="H7" s="54" t="s">
        <v>346</v>
      </c>
      <c r="L7" s="54" t="s">
        <v>328</v>
      </c>
      <c r="M7" s="54"/>
      <c r="P7" s="54" t="s">
        <v>347</v>
      </c>
    </row>
    <row r="8" spans="5:36" x14ac:dyDescent="0.3">
      <c r="P8"/>
      <c r="AC8" s="29" t="s">
        <v>333</v>
      </c>
      <c r="AD8" s="32">
        <f>LN(TAN(RADIANS(45+O10/2)))*180/PI()</f>
        <v>-11.068203718114832</v>
      </c>
      <c r="AE8" s="30" t="s">
        <v>272</v>
      </c>
      <c r="AF8" s="32">
        <f>AD8+90</f>
        <v>78.93179628188517</v>
      </c>
      <c r="AG8" s="29" t="s">
        <v>335</v>
      </c>
      <c r="AH8" s="32">
        <f>O12</f>
        <v>-177.72733698537394</v>
      </c>
      <c r="AI8" s="30" t="s">
        <v>273</v>
      </c>
      <c r="AJ8" s="32">
        <f>AH8+180</f>
        <v>2.2726630146260618</v>
      </c>
    </row>
    <row r="9" spans="5:36" x14ac:dyDescent="0.3">
      <c r="E9" s="52" t="s">
        <v>310</v>
      </c>
      <c r="F9" s="56">
        <f>'Condición Actual'!U85</f>
        <v>27736.147824999993</v>
      </c>
      <c r="H9" s="52" t="s">
        <v>320</v>
      </c>
      <c r="I9" s="52">
        <f>IFERROR(_xlfn.XLOOKUP(J9,TTHH!M10:M14,TTHH!O10:O14),0)</f>
        <v>63116</v>
      </c>
      <c r="J9" s="57" t="str">
        <f>Interfaz!G157</f>
        <v>W</v>
      </c>
      <c r="L9" s="52" t="s">
        <v>141</v>
      </c>
      <c r="M9" s="52" t="s">
        <v>263</v>
      </c>
      <c r="N9" s="52" t="s">
        <v>145</v>
      </c>
      <c r="P9" s="52" t="s">
        <v>325</v>
      </c>
      <c r="Q9" s="52">
        <f>IFERROR(_xlfn.XLOOKUP(R9,TTHH!M10:M14,TTHH!O10:O14),0)</f>
        <v>64609</v>
      </c>
      <c r="R9" s="57" t="str">
        <f>Interfaz!O157</f>
        <v>S</v>
      </c>
      <c r="AC9" s="29" t="s">
        <v>271</v>
      </c>
      <c r="AD9" s="32">
        <f>LN(TAN(RADIANS(45+Navegación!F14/2)))*180/PI()</f>
        <v>77.97015479949016</v>
      </c>
      <c r="AE9" s="30" t="s">
        <v>272</v>
      </c>
      <c r="AF9" s="32">
        <f>AD9+90</f>
        <v>167.97015479949016</v>
      </c>
      <c r="AG9" s="29" t="s">
        <v>269</v>
      </c>
      <c r="AH9" s="32">
        <f>Navegación!H14</f>
        <v>-149.88333333333333</v>
      </c>
      <c r="AI9" s="30" t="s">
        <v>273</v>
      </c>
      <c r="AJ9" s="32">
        <f>AH9+180</f>
        <v>30.116666666666674</v>
      </c>
    </row>
    <row r="10" spans="5:36" x14ac:dyDescent="0.3">
      <c r="E10" s="52" t="s">
        <v>311</v>
      </c>
      <c r="F10" s="60">
        <f>Interfaz!F9</f>
        <v>1.01</v>
      </c>
      <c r="H10" s="52" t="s">
        <v>321</v>
      </c>
      <c r="I10" s="60">
        <f>Interfaz!F158</f>
        <v>10.67</v>
      </c>
      <c r="J10" s="57" t="str">
        <f>Interfaz!G158</f>
        <v>Aplica</v>
      </c>
      <c r="L10" s="60" cm="1">
        <f t="array" ref="L10:M10">Interfaz!I158:J158</f>
        <v>11</v>
      </c>
      <c r="M10" s="60">
        <v>0</v>
      </c>
      <c r="N10" s="57" t="str">
        <f>Interfaz!K158</f>
        <v>S</v>
      </c>
      <c r="O10" s="32">
        <f>IF(N10="N",L10+M10/60,IF(N10="S",-L10-M10/60))</f>
        <v>-11</v>
      </c>
      <c r="P10" s="52" t="s">
        <v>326</v>
      </c>
      <c r="Q10" s="60" cm="1">
        <f t="array" ref="Q10:Q11">Interfaz!N158:N159</f>
        <v>0</v>
      </c>
      <c r="R10" s="57" t="str">
        <f>Interfaz!O158</f>
        <v>No Aplica</v>
      </c>
      <c r="AE10" s="29" t="s">
        <v>274</v>
      </c>
      <c r="AF10" s="32">
        <f>ABS(AF8-AF9)</f>
        <v>89.038358517604991</v>
      </c>
      <c r="AI10" s="29" t="s">
        <v>275</v>
      </c>
      <c r="AJ10" s="32">
        <f>IF(ABS(AJ8-AJ9)&gt;180,360-ABS(AJ8-AJ9),ABS(AJ8-AJ9))</f>
        <v>27.844003652040612</v>
      </c>
    </row>
    <row r="11" spans="5:36" x14ac:dyDescent="0.3">
      <c r="F11"/>
      <c r="H11" s="52" t="s">
        <v>322</v>
      </c>
      <c r="I11" s="60">
        <f>Interfaz!F159</f>
        <v>1.01</v>
      </c>
      <c r="J11" s="32">
        <f ca="1">FORECAST(H12,OFFSET(TTHH!K22,MATCH(H12,TTHH!J22:J129,1)-1,0,2),OFFSET(TTHH!J22,MATCH(H12,TTHH!J22:J129,1)-1,0,2))</f>
        <v>53869.240000000005</v>
      </c>
      <c r="K11" s="29" t="s">
        <v>331</v>
      </c>
      <c r="L11" s="29"/>
      <c r="M11" s="29"/>
      <c r="N11" s="29"/>
      <c r="P11" s="52" t="s">
        <v>327</v>
      </c>
      <c r="Q11" s="60">
        <v>1.0249999999999999</v>
      </c>
      <c r="R11" s="32" t="e">
        <f ca="1">FORECAST(P12,OFFSET(TTHH!K22,MATCH(P12,TTHH!J22:J129,1)-1,0,2),OFFSET(TTHH!J22,MATCH(P12,TTHH!J22:J129,1)-1,0,2))</f>
        <v>#N/A</v>
      </c>
      <c r="S11" s="29" t="s">
        <v>331</v>
      </c>
      <c r="AG11"/>
    </row>
    <row r="12" spans="5:36" x14ac:dyDescent="0.3">
      <c r="E12" s="52" t="s">
        <v>564</v>
      </c>
      <c r="F12" s="56">
        <f ca="1">IFERROR(F18,0)</f>
        <v>5.8130384126213572</v>
      </c>
      <c r="G12" s="29" t="s">
        <v>329</v>
      </c>
      <c r="H12" s="32">
        <f>I10-TTHH!S11</f>
        <v>10.648</v>
      </c>
      <c r="I12" s="32">
        <f ca="1">ROUND(MIN(I9,J12),1)</f>
        <v>53080.9</v>
      </c>
      <c r="J12" s="32">
        <f ca="1">IF(J10="Aplica",(J11*I11)/1.025,MAX(TTHH!O10:O14))</f>
        <v>53080.909658536591</v>
      </c>
      <c r="K12" s="29" t="s">
        <v>330</v>
      </c>
      <c r="L12" s="29"/>
      <c r="M12" s="29"/>
      <c r="N12" s="29"/>
      <c r="O12" s="31">
        <f>IFERROR(AJ18,0)</f>
        <v>-177.72733698537394</v>
      </c>
      <c r="P12" s="32">
        <f>Q10-TTHH!S11</f>
        <v>-2.1999999999999999E-2</v>
      </c>
      <c r="Q12" s="32">
        <f>ROUND(MIN(Q9,R12),1)</f>
        <v>64609</v>
      </c>
      <c r="R12" s="32">
        <f>IF(R10="Aplica",(R11*Q11)/1.025,MAX(TTHH!O10:O14))</f>
        <v>66105</v>
      </c>
      <c r="S12" s="29" t="s">
        <v>330</v>
      </c>
      <c r="AC12" s="29" t="s">
        <v>334</v>
      </c>
      <c r="AD12" s="31">
        <f>O10</f>
        <v>-11</v>
      </c>
      <c r="AE12" s="30" t="s">
        <v>272</v>
      </c>
      <c r="AF12" s="32">
        <f>AD12+90</f>
        <v>79</v>
      </c>
      <c r="AH12" s="29" t="s">
        <v>276</v>
      </c>
      <c r="AI12" s="32">
        <f>AJ10/AF10</f>
        <v>0.3127191933410946</v>
      </c>
    </row>
    <row r="13" spans="5:36" x14ac:dyDescent="0.3">
      <c r="E13" s="52" t="str">
        <f>IF(F10=1,"CH fw","CH bw")</f>
        <v>CH bw</v>
      </c>
      <c r="F13" s="56">
        <f ca="1">IFERROR(F22,0)</f>
        <v>5.8938028618162353</v>
      </c>
      <c r="G13" s="41"/>
      <c r="H13" s="52" t="s">
        <v>339</v>
      </c>
      <c r="I13" s="56">
        <f ca="1">I22</f>
        <v>53080.9</v>
      </c>
      <c r="P13" s="52" t="s">
        <v>340</v>
      </c>
      <c r="Q13" s="56">
        <f ca="1">I23</f>
        <v>52467.700000000004</v>
      </c>
      <c r="AC13" s="29" t="s">
        <v>266</v>
      </c>
      <c r="AD13" s="31">
        <f>Navegación!F14</f>
        <v>61.233333333333334</v>
      </c>
      <c r="AE13" s="30" t="s">
        <v>272</v>
      </c>
      <c r="AF13" s="32">
        <f>AD13+90</f>
        <v>151.23333333333335</v>
      </c>
      <c r="AH13" s="29" t="s">
        <v>277</v>
      </c>
      <c r="AI13" s="32">
        <f>ATAN(AI12)</f>
        <v>0.30308454806571072</v>
      </c>
    </row>
    <row r="14" spans="5:36" x14ac:dyDescent="0.3">
      <c r="E14" s="52" t="s">
        <v>312</v>
      </c>
      <c r="F14" s="56">
        <f ca="1">IFERROR(FORECAST(F22, OFFSET(TTHH!$M$22,MATCH(F22,TTHH!$J$22:$J$129,1)-1,0,2), OFFSET(TTHH!$J$22,MATCH(F22,TTHH!$J$22:$J$129,1)-1,0,2)),0)</f>
        <v>100.50185914145513</v>
      </c>
      <c r="L14" s="54" t="s">
        <v>308</v>
      </c>
      <c r="M14" s="57" t="str">
        <f>Interfaz!J162</f>
        <v>GC</v>
      </c>
      <c r="N14" s="32"/>
      <c r="AD14"/>
      <c r="AE14" s="29" t="s">
        <v>279</v>
      </c>
      <c r="AF14" s="32">
        <f>ABS(AF12-AF13)</f>
        <v>72.233333333333348</v>
      </c>
      <c r="AH14"/>
      <c r="AI14"/>
    </row>
    <row r="15" spans="5:36" x14ac:dyDescent="0.3">
      <c r="E15" s="52" t="s">
        <v>313</v>
      </c>
      <c r="F15" s="56">
        <f ca="1">IFERROR(FORECAST(F22, OFFSET(TTHH!$O$22,MATCH(F22,TTHH!$J$22:$J$129,1)-1,0,2), OFFSET(TTHH!$J$22,MATCH(F22,TTHH!$J$22:$J$129,1)-1,0,2)),0)</f>
        <v>98.835577424365383</v>
      </c>
      <c r="H15" s="52" t="s">
        <v>564</v>
      </c>
      <c r="I15" s="56">
        <f ca="1">IFERROR(FORECAST(I13, OFFSET(TTHH!$J$22,MATCH(I13,TTHH!$K$22:$K$129,1)-1,0,2), OFFSET(TTHH!$K$22,MATCH(I13,TTHH!$K$22:$K$129,1)-1,0,2)),0)</f>
        <v>10.507975133214922</v>
      </c>
      <c r="J15"/>
      <c r="L15" s="52" t="s">
        <v>289</v>
      </c>
      <c r="M15" s="56">
        <f>IF(AND(L10="",M10=""),0,IF(M14="GC",AD18,IF(M14="RL",AI15,IF(M14="Entrada Manual",N14,0))))</f>
        <v>4529.7591962505576</v>
      </c>
      <c r="N15" s="32">
        <f>N14/(24*Navegación!F17)</f>
        <v>0</v>
      </c>
      <c r="P15" s="52" t="s">
        <v>564</v>
      </c>
      <c r="Q15" s="56">
        <f ca="1">IFERROR(FORECAST(Q13, OFFSET(TTHH!$J$22,MATCH(Q13,TTHH!$K$22:$K$129,1)-1,0,2), OFFSET(TTHH!$K$22,MATCH(Q13,TTHH!$K$22:$K$129,1)-1,0,2)),0)</f>
        <v>10.398877005347597</v>
      </c>
      <c r="AH15" s="29" t="s">
        <v>278</v>
      </c>
      <c r="AI15" s="32">
        <f>AF14*_xlfn.SEC(AI13)*60</f>
        <v>4540.9758656144386</v>
      </c>
    </row>
    <row r="16" spans="5:36" x14ac:dyDescent="0.3">
      <c r="E16" s="52" t="str">
        <f>IF(F10=1.025,"Mu","Mu corr x d")</f>
        <v>Mu corr x d</v>
      </c>
      <c r="F16" s="56">
        <f ca="1">IFERROR(IF(F10=1.015,F17,(F17*F10)/1.025),0)</f>
        <v>581.58901944601291</v>
      </c>
      <c r="H16" s="52" t="str">
        <f>IF(I11=1,"CH fw","CH bw")</f>
        <v>CH bw</v>
      </c>
      <c r="I16" s="56">
        <f ca="1">I15+K18</f>
        <v>10.64963003149456</v>
      </c>
      <c r="J16" s="29" t="s">
        <v>315</v>
      </c>
      <c r="K16" s="32">
        <f ca="1">FORECAST(I15,OFFSET(TTHH!R22,MATCH(I15,TTHH!J22:J129,1)-1,0,2),OFFSET(TTHH!J22,MATCH(I15,Tabla22[[#All],[Columna1]],1)-1,0,2))</f>
        <v>56.207975133214923</v>
      </c>
      <c r="L16" s="52" t="s">
        <v>288</v>
      </c>
      <c r="M16" s="56">
        <f>IFERROR(IF(AND(L10="",M10=""),0,IF(M14="GC",AD19,IF(M14="RL",AI16,IF(M14="Entrada Manual",N15,0)))),0)</f>
        <v>12.582664434029327</v>
      </c>
      <c r="P16" s="52" t="str">
        <f>IF(Q11=1,"CH fw","CH bw")</f>
        <v>CH bw</v>
      </c>
      <c r="Q16" s="56">
        <f ca="1">Q15+S18</f>
        <v>10.398877005347597</v>
      </c>
      <c r="R16" s="29" t="s">
        <v>315</v>
      </c>
      <c r="S16" s="35">
        <f ca="1">FORECAST(Q15,OFFSET(TTHH!R22,MATCH(Q15,TTHH!J22:J129,1)-1,0,2),OFFSET(TTHH!J22,MATCH(Q15,Tabla22[[#All],[Columna1]],1)-1,0,2))</f>
        <v>56.198877005347597</v>
      </c>
      <c r="AG16"/>
      <c r="AH16" s="29" t="s">
        <v>337</v>
      </c>
      <c r="AI16" s="32">
        <f>AI15/(24*Navegación!F17)</f>
        <v>12.613821848928996</v>
      </c>
    </row>
    <row r="17" spans="5:37" x14ac:dyDescent="0.3">
      <c r="E17" s="29" t="s">
        <v>314</v>
      </c>
      <c r="F17" s="32">
        <f ca="1">FORECAST(F22, OFFSET(TTHH!$Q$22,MATCH(F22,TTHH!$J$22:$J$129,1)-1,0,2), OFFSET(TTHH!$J$22,MATCH(F22,TTHH!$J$22:$J$129,1)-1,0,2))</f>
        <v>590.22648013085461</v>
      </c>
      <c r="H17" s="52" t="s">
        <v>312</v>
      </c>
      <c r="I17" s="56">
        <f ca="1">IFERROR(FORECAST(I16, OFFSET(TTHH!$M$22,MATCH(I16,TTHH!$J$22:$J$129,1)-1,0,2), OFFSET(TTHH!$J$22,MATCH(I16,TTHH!$J$22:$J$129,1)-1,0,2)),0)</f>
        <v>97.905258977953807</v>
      </c>
      <c r="J17" s="29" t="s">
        <v>316</v>
      </c>
      <c r="K17" s="32">
        <f ca="1">IFERROR(I13/(40*K16),0)</f>
        <v>23.609149713273052</v>
      </c>
      <c r="L17" s="52" t="s">
        <v>332</v>
      </c>
      <c r="M17" s="56">
        <f>Consumos!L6</f>
        <v>36</v>
      </c>
      <c r="P17" s="52" t="s">
        <v>312</v>
      </c>
      <c r="Q17" s="56">
        <f ca="1">IFERROR(FORECAST(Q16, OFFSET(TTHH!$M$22,MATCH(Q16,TTHH!$J$22:$J$129,1)-1,0,2), OFFSET(TTHH!$J$22,MATCH(Q16,TTHH!$J$22:$J$129,1)-1,0,2)),0)</f>
        <v>98.080786096256688</v>
      </c>
      <c r="R17" s="29" t="s">
        <v>316</v>
      </c>
      <c r="S17" s="35">
        <f ca="1">IFERROR(Q13/(40*S16),0)</f>
        <v>23.3401905855732</v>
      </c>
      <c r="AC17" s="29" t="s">
        <v>285</v>
      </c>
      <c r="AD17" s="32">
        <f>SIN(RADIANS(Navegación!F14))*SIN(RADIANS(O10))+COS(RADIANS(Navegación!F14))*COS(RADIANS('D Máximos'!O10))*COS(RADIANS(AJ10))</f>
        <v>0.25044781925012599</v>
      </c>
      <c r="AE17" s="12"/>
      <c r="AF17" s="36"/>
      <c r="AG17" s="29" t="s">
        <v>299</v>
      </c>
      <c r="AH17" s="32">
        <f>TAN(RADIANS(Navegación!F14))*_xlfn.COT(RADIANS(AF20))</f>
        <v>0.42635198007551189</v>
      </c>
      <c r="AI17" s="29" t="s">
        <v>349</v>
      </c>
      <c r="AJ17" s="32">
        <f>ACOS(TAN(RADIANS(O10))/TAN(RADIANS(AF20)))*180/PI()</f>
        <v>92.607734262753127</v>
      </c>
      <c r="AK17"/>
    </row>
    <row r="18" spans="5:37" x14ac:dyDescent="0.3">
      <c r="E18" s="29" t="s">
        <v>318</v>
      </c>
      <c r="F18" s="32">
        <f ca="1">FORECAST(F9, OFFSET(TTHH!$J$22,MATCH(F9,TTHH!$K$22:$K$129,1)-1,0,2), OFFSET(TTHH!$K$22,MATCH(F9,TTHH!$K$22:$K$129,1)-1,0,2))</f>
        <v>5.8130384126213572</v>
      </c>
      <c r="H18" s="52" t="s">
        <v>313</v>
      </c>
      <c r="I18" s="56">
        <f ca="1">IFERROR(FORECAST(I16, OFFSET(TTHH!$O$22,MATCH(I16,TTHH!$J$22:$J$129,1)-1,0,2), OFFSET(TTHH!$J$22,MATCH(I16,TTHH!$J$22:$J$129,1)-1,0,2)),0)</f>
        <v>91.085554952758159</v>
      </c>
      <c r="J18" s="29" t="s">
        <v>317</v>
      </c>
      <c r="K18" s="32">
        <f ca="1">((K17*(1.025-I11))/0.025)/100</f>
        <v>0.1416548982796374</v>
      </c>
      <c r="L18" s="52" t="s">
        <v>341</v>
      </c>
      <c r="M18" s="56">
        <f>IF(AND(L10="",M10=""),0,ROUND(M17*M16,1))</f>
        <v>453</v>
      </c>
      <c r="P18" s="52" t="s">
        <v>313</v>
      </c>
      <c r="Q18" s="56">
        <f ca="1">IFERROR(FORECAST(Q16, OFFSET(TTHH!$O$22,MATCH(Q16,TTHH!$J$22:$J$129,1)-1,0,2), OFFSET(TTHH!$J$22,MATCH(Q16,TTHH!$J$22:$J$129,1)-1,0,2)),0)</f>
        <v>91.471796791443836</v>
      </c>
      <c r="R18" s="29" t="s">
        <v>317</v>
      </c>
      <c r="S18" s="35">
        <f ca="1">((S17*(1.025-Q11))/0.025)/100</f>
        <v>0</v>
      </c>
      <c r="AC18" s="29" t="s">
        <v>283</v>
      </c>
      <c r="AD18" s="32">
        <f>ACOS(AD17)*60*180/PI()</f>
        <v>4529.7591962505576</v>
      </c>
      <c r="AE18" s="12"/>
      <c r="AF18" s="36"/>
      <c r="AG18" s="29" t="s">
        <v>300</v>
      </c>
      <c r="AH18" s="32">
        <f>ACOS(IF(AH17&lt;0,(-1)*AH17,AH17))*180/PI()</f>
        <v>64.763730610712514</v>
      </c>
      <c r="AI18" s="29" t="s">
        <v>335</v>
      </c>
      <c r="AJ18" s="32">
        <f>MOD(AH20 + (IF(MOD(AH9 - AH20 + 180, 360) - 180 &lt; 0, -1, 1) * AJ17) + 180, 360) - 180</f>
        <v>-177.72733698537394</v>
      </c>
      <c r="AK18" s="25"/>
    </row>
    <row r="19" spans="5:37" x14ac:dyDescent="0.3">
      <c r="E19" s="29" t="s">
        <v>315</v>
      </c>
      <c r="F19" s="32">
        <f ca="1">FORECAST(F18,OFFSET(TTHH!R22,MATCH(F18,TTHH!J22:J129,1)-1,0,2),OFFSET(TTHH!J22,MATCH(F18,Tabla22[[#All],[Columna1]],1)-1,0,2))</f>
        <v>51.513038412621356</v>
      </c>
      <c r="H19" s="52" t="str">
        <f>IF(I11=1.025,"Mu","Mu corr x d")</f>
        <v>Mu corr x d</v>
      </c>
      <c r="I19" s="56">
        <f ca="1">IFERROR(IF(I11=1.015,I20,(I20*I11)/1.025),0)</f>
        <v>750.8414894011612</v>
      </c>
      <c r="L19" s="52" t="s">
        <v>342</v>
      </c>
      <c r="M19" s="56">
        <f>IFERROR(ROUND(M17*Navegación!F24,1),0)</f>
        <v>613.20000000000005</v>
      </c>
      <c r="N19"/>
      <c r="P19" s="52" t="str">
        <f>IF(Q11=1.025,"Mu","Mu corr x d")</f>
        <v>Mu</v>
      </c>
      <c r="Q19" s="56">
        <f ca="1">IFERROR(IF(Q11=1.015,Q20,(Q20*Q11)/1.025),0)</f>
        <v>756.77304812834223</v>
      </c>
      <c r="AC19" s="29" t="s">
        <v>336</v>
      </c>
      <c r="AD19" s="32">
        <f>AD18/(24*Navegación!F17)</f>
        <v>12.582664434029327</v>
      </c>
      <c r="AE19" s="12"/>
      <c r="AF19" s="36"/>
      <c r="AH19" s="32">
        <f>IF(AJ9+AH18&lt;0,AJ9+AH18+360,IF(AJ9+AH18&gt;360,AJ9+AH18-360,AJ9+AH18))</f>
        <v>94.880397277379188</v>
      </c>
      <c r="AI19" s="29"/>
      <c r="AJ19" s="32"/>
      <c r="AK19" s="14"/>
    </row>
    <row r="20" spans="5:37" x14ac:dyDescent="0.3">
      <c r="E20" s="29" t="s">
        <v>316</v>
      </c>
      <c r="F20" s="32">
        <f ca="1">IFERROR(F9/(40*F19),0)</f>
        <v>13.460741532479803</v>
      </c>
      <c r="H20" s="29" t="s">
        <v>314</v>
      </c>
      <c r="I20" s="32">
        <f ca="1">FORECAST(I16, OFFSET(TTHH!$Q$22,MATCH(I16,TTHH!$J$22:$J$129,1)-1,0,2), OFFSET(TTHH!$J$22,MATCH(I16,TTHH!$J$22:$J$129,1)-1,0,2))</f>
        <v>761.99260062989129</v>
      </c>
      <c r="P20" s="29" t="s">
        <v>314</v>
      </c>
      <c r="Q20" s="32">
        <f ca="1">FORECAST(Q16, OFFSET(TTHH!$Q$22,MATCH(Q16,TTHH!$J$22:$J$129,1)-1,0,2), OFFSET(TTHH!$J$22,MATCH(Q16,TTHH!$J$22:$J$129,1)-1,0,2))</f>
        <v>756.77304812834223</v>
      </c>
      <c r="AE20" s="29" t="s">
        <v>295</v>
      </c>
      <c r="AF20" s="32">
        <f>Navegación!V23</f>
        <v>76.826168566939458</v>
      </c>
      <c r="AG20" s="30" t="s">
        <v>307</v>
      </c>
      <c r="AH20" s="32">
        <f>AH19-180</f>
        <v>-85.119602722620812</v>
      </c>
      <c r="AI20" s="29" t="s">
        <v>348</v>
      </c>
      <c r="AJ20" s="14"/>
      <c r="AK20" s="10"/>
    </row>
    <row r="21" spans="5:37" x14ac:dyDescent="0.3">
      <c r="E21" s="29" t="s">
        <v>317</v>
      </c>
      <c r="F21" s="32">
        <f ca="1">((F20*(1.025-F10))/0.025)/100</f>
        <v>8.0764449194878282E-2</v>
      </c>
      <c r="H21" s="29" t="s">
        <v>338</v>
      </c>
      <c r="I21" s="32">
        <f ca="1">MIN(I12,Q12)</f>
        <v>53080.9</v>
      </c>
      <c r="P21" s="12"/>
      <c r="Q21" s="36"/>
      <c r="AG21" s="25"/>
      <c r="AH21" s="14"/>
      <c r="AI21" s="12"/>
      <c r="AJ21" s="14"/>
    </row>
    <row r="22" spans="5:37" x14ac:dyDescent="0.3">
      <c r="E22" s="29" t="s">
        <v>319</v>
      </c>
      <c r="F22" s="32">
        <f ca="1">F18+F21</f>
        <v>5.8938028618162353</v>
      </c>
      <c r="H22" s="29" t="s">
        <v>343</v>
      </c>
      <c r="I22" s="32">
        <f ca="1">IF(I21=I12,I12,IF(AND((Q12+M19-M18)&lt;=Q9,Q12+M19&lt;=I12),Q12+M19,IF(AND((Q12+M18)&lt;=I12,Q12+M18&lt;=I12),Q12+M18,0)))</f>
        <v>53080.9</v>
      </c>
      <c r="L22" s="57" t="s">
        <v>581</v>
      </c>
      <c r="P22" s="12"/>
      <c r="Q22" s="36"/>
      <c r="AI22" s="12"/>
      <c r="AJ22" s="14"/>
    </row>
    <row r="23" spans="5:37" x14ac:dyDescent="0.3">
      <c r="H23" s="29" t="s">
        <v>344</v>
      </c>
      <c r="I23" s="33">
        <f ca="1">I22-M19</f>
        <v>52467.700000000004</v>
      </c>
      <c r="L23"/>
      <c r="P23" s="12"/>
      <c r="Q23" s="37"/>
    </row>
    <row r="32" spans="5:37" x14ac:dyDescent="0.3">
      <c r="T32" s="28"/>
      <c r="U32" s="28"/>
    </row>
    <row r="33" spans="20:21" x14ac:dyDescent="0.3">
      <c r="T33" s="28"/>
      <c r="U33" s="28"/>
    </row>
  </sheetData>
  <conditionalFormatting sqref="L11:N12">
    <cfRule type="expression" dxfId="189" priority="1">
      <formula>$L$22="Ocultar"</formula>
    </cfRule>
  </conditionalFormatting>
  <conditionalFormatting sqref="N14:N15">
    <cfRule type="expression" dxfId="188" priority="9">
      <formula>$L$22="Ocultar"</formula>
    </cfRule>
  </conditionalFormatting>
  <conditionalFormatting sqref="AC8:AJ16 O10 J11:K11 R11:S11 G12:K12 O12:S12 J16:K18 R16:S18 AC17:AD20 E17:F22 H20:I23 P20:Q23">
    <cfRule type="expression" dxfId="187" priority="13">
      <formula>$L$22="Ocultar"</formula>
    </cfRule>
  </conditionalFormatting>
  <conditionalFormatting sqref="AE17:AF20">
    <cfRule type="expression" dxfId="186" priority="7">
      <formula>$Q$8="Ocultar"</formula>
    </cfRule>
  </conditionalFormatting>
  <conditionalFormatting sqref="AG21:AH21">
    <cfRule type="expression" dxfId="185" priority="21">
      <formula>$S$8="Ocultar"</formula>
    </cfRule>
  </conditionalFormatting>
  <conditionalFormatting sqref="AG17:AJ19 AE20:AJ20">
    <cfRule type="expression" dxfId="184" priority="3">
      <formula>$L$22="Ocultar"</formula>
    </cfRule>
  </conditionalFormatting>
  <conditionalFormatting sqref="AI17:AJ19">
    <cfRule type="expression" dxfId="183" priority="4">
      <formula>$Q$8="Ocultar"</formula>
    </cfRule>
  </conditionalFormatting>
  <conditionalFormatting sqref="AI20:AJ22">
    <cfRule type="expression" dxfId="182" priority="20">
      <formula>$S$8="Ocultar"</formula>
    </cfRule>
  </conditionalFormatting>
  <conditionalFormatting sqref="AK18:AK20">
    <cfRule type="expression" dxfId="181" priority="19">
      <formula>$S$8="Ocultar"</formula>
    </cfRule>
  </conditionalFormatting>
  <dataValidations count="2">
    <dataValidation type="list" allowBlank="1" showInputMessage="1" showErrorMessage="1" sqref="N12" xr:uid="{0712C511-AE79-48D2-BEEA-554379E2D8FC}">
      <formula1>"E,W"</formula1>
    </dataValidation>
    <dataValidation type="list" allowBlank="1" showInputMessage="1" showErrorMessage="1" sqref="L22" xr:uid="{8F4F9104-537F-404A-9BA6-AA5FAADDCC84}">
      <formula1>"Ver Cuentas, Ocultar"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8B56-F0A6-4A02-BEFD-221E1A8C1A2E}">
  <sheetPr>
    <tabColor rgb="FFE2007D"/>
  </sheetPr>
  <dimension ref="F10:AG85"/>
  <sheetViews>
    <sheetView topLeftCell="D6" workbookViewId="0">
      <selection activeCell="F24" sqref="F24:G28"/>
    </sheetView>
    <sheetView topLeftCell="A6" workbookViewId="1">
      <selection activeCell="N16" sqref="N16"/>
    </sheetView>
  </sheetViews>
  <sheetFormatPr baseColWidth="10" defaultRowHeight="14.4" x14ac:dyDescent="0.3"/>
  <cols>
    <col min="1" max="16384" width="11.5546875" style="8"/>
  </cols>
  <sheetData>
    <row r="10" spans="6:33" x14ac:dyDescent="0.3">
      <c r="F10" s="54" t="s">
        <v>386</v>
      </c>
      <c r="G10" s="56">
        <f>U85</f>
        <v>27736.147824999993</v>
      </c>
      <c r="I10" s="52" t="s">
        <v>399</v>
      </c>
      <c r="J10" s="56">
        <f ca="1">IFERROR(DEGREES(ATAN(Z85)/G16),0)</f>
        <v>1.9861239910302173E-2</v>
      </c>
      <c r="O10" s="57" t="s">
        <v>350</v>
      </c>
      <c r="T10" s="54" t="s">
        <v>11</v>
      </c>
      <c r="U10" s="52" t="s">
        <v>3</v>
      </c>
      <c r="V10" s="52" t="s">
        <v>17</v>
      </c>
      <c r="W10" s="52" t="s">
        <v>382</v>
      </c>
      <c r="X10" s="52" t="s">
        <v>15</v>
      </c>
      <c r="Y10" s="52" t="s">
        <v>383</v>
      </c>
      <c r="Z10" s="52" t="s">
        <v>16</v>
      </c>
      <c r="AA10" s="52" t="s">
        <v>384</v>
      </c>
      <c r="AB10" s="52" t="s">
        <v>4</v>
      </c>
      <c r="AD10" s="54" t="s">
        <v>11</v>
      </c>
      <c r="AE10" s="52" t="s">
        <v>387</v>
      </c>
      <c r="AF10" s="52" t="s">
        <v>354</v>
      </c>
      <c r="AG10" s="52" t="s">
        <v>388</v>
      </c>
    </row>
    <row r="11" spans="6:33" x14ac:dyDescent="0.3">
      <c r="F11" s="52" t="s">
        <v>366</v>
      </c>
      <c r="G11" s="56">
        <f ca="1">V85</f>
        <v>8.5374793658643231</v>
      </c>
      <c r="I11" s="54" t="s">
        <v>380</v>
      </c>
      <c r="T11" s="52" t="s">
        <v>6</v>
      </c>
      <c r="U11" s="56" cm="1">
        <f t="array" ref="U11:U15">'D Actual'!N8:N12</f>
        <v>0</v>
      </c>
      <c r="V11" s="56">
        <f ca="1">IFERROR(FORECAST('D Actual'!O8, OFFSET(TTHH!$AB$10, MATCH('D Actual'!O8,TTHH!$Y$10:$Y$99,-1)-1, 0, 2), OFFSET(TTHH!$Y$10, MATCH('D Actual'!O8,TTHH!$Y$10:$Y$99,-1)-1, 0, 2)),0)</f>
        <v>0</v>
      </c>
      <c r="W11" s="56">
        <f ca="1">U11*V11</f>
        <v>0</v>
      </c>
      <c r="X11" s="56">
        <f ca="1">IFERROR(FORECAST('D Actual'!O8, OFFSET(TTHH!$AA$10,MATCH('D Actual'!O8,TTHH!$Y$10:$Y$99,-1)-1,0,2), OFFSET(TTHH!$Y$10,MATCH('D Actual'!O8,TTHH!$Y$10:$Y$99,-1)-1,0,2)),0)</f>
        <v>0</v>
      </c>
      <c r="Y11" s="56">
        <f ca="1">U11*X11</f>
        <v>0</v>
      </c>
      <c r="Z11" s="52" cm="1">
        <f t="array" ref="Z11:Z15">TTHH!F9:F13</f>
        <v>0</v>
      </c>
      <c r="AA11" s="56">
        <f>U11*Z11</f>
        <v>0</v>
      </c>
      <c r="AB11" s="18"/>
      <c r="AD11" s="52" t="s">
        <v>6</v>
      </c>
      <c r="AE11" s="56">
        <f ca="1">IFERROR(FORECAST('D Actual'!O8, OFFSET(TTHH!Z10, MATCH('D Actual'!O8,TTHH!$Y$10:$Y$99,-1)-1, 0, 2), OFFSET(TTHH!$Y$10, MATCH('D Actual'!O8,TTHH!$Y$10:$Y$99,-1)-1, 0, 2)),0)</f>
        <v>0</v>
      </c>
      <c r="AF11" s="56" cm="1">
        <f t="array" ref="AF11:AF15">'D Actual'!P8:P12</f>
        <v>0</v>
      </c>
      <c r="AG11" s="56">
        <f ca="1">IFERROR(AE11/AF11,0)</f>
        <v>0</v>
      </c>
    </row>
    <row r="12" spans="6:33" x14ac:dyDescent="0.3">
      <c r="F12" s="52" t="s">
        <v>367</v>
      </c>
      <c r="G12" s="56">
        <f ca="1">G11+M12</f>
        <v>8.5718028056587237</v>
      </c>
      <c r="I12" s="52" t="s">
        <v>374</v>
      </c>
      <c r="J12" s="56">
        <f ca="1">IFERROR('Calados Act Sal Lleg'!F19,0)</f>
        <v>5.4505606016609578</v>
      </c>
      <c r="L12" s="29" t="s">
        <v>370</v>
      </c>
      <c r="M12" s="40">
        <f>IFERROR(AB85/U85,"")</f>
        <v>3.4323439794401236E-2</v>
      </c>
      <c r="O12" s="29" t="s">
        <v>393</v>
      </c>
      <c r="P12" s="32">
        <f ca="1">IFERROR(AG17/G10,"")</f>
        <v>0</v>
      </c>
      <c r="T12" s="52" t="s">
        <v>7</v>
      </c>
      <c r="U12" s="56">
        <v>0</v>
      </c>
      <c r="V12" s="56">
        <f ca="1">IFERROR(FORECAST('D Actual'!O9, OFFSET(TTHH!$AI$10,MATCH('D Actual'!O9,TTHH!$AF$10:$AF$100,-1)-1,0,2), OFFSET(TTHH!$AF$10,MATCH('D Actual'!O9,TTHH!$AF$10:$AF$100,-1)-1,0,2)),0)</f>
        <v>0</v>
      </c>
      <c r="W12" s="56">
        <f ca="1">U12*V12</f>
        <v>0</v>
      </c>
      <c r="X12" s="56">
        <f ca="1">IFERROR(FORECAST('D Actual'!O9, OFFSET(TTHH!$AH$10,MATCH('D Actual'!O9,TTHH!$AF$10:$AF$100,-1)-1,0,2), OFFSET(TTHH!$AF$10,MATCH('D Actual'!O9,TTHH!$AF$10:$AF$100,-1)-1,0,2)),0)</f>
        <v>0</v>
      </c>
      <c r="Y12" s="56">
        <f ca="1">U12*X12</f>
        <v>0</v>
      </c>
      <c r="Z12" s="52">
        <v>0</v>
      </c>
      <c r="AA12" s="56">
        <f>U12*Z12</f>
        <v>0</v>
      </c>
      <c r="AB12" s="18"/>
      <c r="AD12" s="52" t="s">
        <v>7</v>
      </c>
      <c r="AE12" s="56">
        <f ca="1">IFERROR(FORECAST('D Actual'!O9, OFFSET(TTHH!AG10,MATCH('D Actual'!O9,TTHH!$AF$10:$AF$100,-1)-1,0,2), OFFSET(TTHH!$AF$10,MATCH('D Actual'!O9,TTHH!$AF$10:$AF$100,-1)-1,0,2)),0)</f>
        <v>0</v>
      </c>
      <c r="AF12" s="56">
        <v>0</v>
      </c>
      <c r="AG12" s="56">
        <f ca="1">IFERROR(AE12/AF12,0)</f>
        <v>0</v>
      </c>
    </row>
    <row r="13" spans="6:33" x14ac:dyDescent="0.3">
      <c r="F13" s="52" t="s">
        <v>368</v>
      </c>
      <c r="G13" s="56">
        <f ca="1">X85</f>
        <v>98.362558710629102</v>
      </c>
      <c r="I13" s="52" t="s">
        <v>375</v>
      </c>
      <c r="J13" s="56">
        <f ca="1">IFERROR('Calados Act Sal Lleg'!H19,0)</f>
        <v>6.385895248835034</v>
      </c>
      <c r="L13" s="29" t="s">
        <v>390</v>
      </c>
      <c r="M13" s="40" t="str">
        <f ca="1">IFERROR(FORECAST('D Máximos'!F12, OFFSET(TTHH!CR10, MATCH('D Máximos'!F12,Tabla4[[#All],[Columna1]],1)-1, 0, 2), OFFSET(TTHH!CL10, MATCH('D Máximos'!F12,Tabla4[[#All],[Columna1]],1)-1, 0, 2)),"")</f>
        <v/>
      </c>
      <c r="O13" s="29" t="s">
        <v>394</v>
      </c>
      <c r="P13" s="32">
        <f ca="1">IFERROR(0.8*P12,"")</f>
        <v>0</v>
      </c>
      <c r="T13" s="52" t="s">
        <v>8</v>
      </c>
      <c r="U13" s="56">
        <v>0</v>
      </c>
      <c r="V13" s="56">
        <f ca="1">IFERROR(FORECAST('D Actual'!O10, OFFSET(TTHH!$AP$10,MATCH('D Actual'!O10,TTHH!$AM$10:$AM$100,-1)-1,0,2), OFFSET(TTHH!$AM$10,MATCH('D Actual'!O10,TTHH!$AM$10:$AM$100,-1)-1,0,2)),0)</f>
        <v>0</v>
      </c>
      <c r="W13" s="56">
        <f ca="1">U13*V13</f>
        <v>0</v>
      </c>
      <c r="X13" s="56">
        <f ca="1">IFERROR(FORECAST('D Actual'!O10, OFFSET(TTHH!$AO$10,MATCH('D Actual'!O10,TTHH!$AM$10:$AM$100,-1)-1,0,2), OFFSET(TTHH!$AM$10,MATCH('D Actual'!O10,TTHH!$AM$10:$AM$100,-1)-1,0,2)),0)</f>
        <v>0</v>
      </c>
      <c r="Y13" s="56">
        <f ca="1">U13*X13</f>
        <v>0</v>
      </c>
      <c r="Z13" s="52">
        <v>0</v>
      </c>
      <c r="AA13" s="56">
        <f>U13*Z13</f>
        <v>0</v>
      </c>
      <c r="AB13" s="18"/>
      <c r="AD13" s="52" t="s">
        <v>8</v>
      </c>
      <c r="AE13" s="56">
        <f ca="1">IFERROR(FORECAST('D Actual'!O10, OFFSET(TTHH!AN10,MATCH('D Actual'!O10,TTHH!$AM$10:$AM$100,-1)-1,0,2), OFFSET(TTHH!$AM$10,MATCH('D Actual'!O10,TTHH!$AM$10:$AM$100,-1)-1,0,2)),0)</f>
        <v>0</v>
      </c>
      <c r="AF13" s="56">
        <v>0</v>
      </c>
      <c r="AG13" s="56">
        <f ca="1">IFERROR(AE13/AF13,0)</f>
        <v>0</v>
      </c>
    </row>
    <row r="14" spans="6:33" x14ac:dyDescent="0.3">
      <c r="F14" s="52" t="s">
        <v>369</v>
      </c>
      <c r="G14" s="56">
        <f>Z85</f>
        <v>3.1179788842937216E-3</v>
      </c>
      <c r="I14" s="52" t="s">
        <v>376</v>
      </c>
      <c r="J14" s="56">
        <f ca="1">'Calados Act Sal Lleg'!J19</f>
        <v>5.9158028618162355</v>
      </c>
      <c r="L14" s="29" t="s">
        <v>391</v>
      </c>
      <c r="M14" s="40">
        <f ca="1">IFERROR(FORECAST('D Máximos'!F12, OFFSET(TTHH!P22, MATCH('D Máximos'!F12,Tabla22[[#All],[Columna1]],1)-1, 0, 2), OFFSET(TTHH!J22, MATCH('D Máximos'!F12,Tabla22[[#All],[Columna1]],1)-1, 0, 2)),"")</f>
        <v>17.566530857281556</v>
      </c>
      <c r="O14" s="29" t="s">
        <v>395</v>
      </c>
      <c r="P14" s="32" t="str">
        <f ca="1">IFERROR(M13-G12*SIN(RADIANS(40))-ABS(Z85)*COS(RADIANS(40)),"")</f>
        <v/>
      </c>
      <c r="T14" s="52" t="s">
        <v>9</v>
      </c>
      <c r="U14" s="56">
        <v>0</v>
      </c>
      <c r="V14" s="56">
        <f ca="1">IFERROR(FORECAST('D Actual'!O11, OFFSET(TTHH!$AW$10,MATCH('D Actual'!O11,TTHH!$AT$10:$AT$100,-1)-1,0,2), OFFSET(TTHH!$AT$10,MATCH('D Actual'!O11,TTHH!$AT$10:$AT$100,-1)-1,0,2)),0)</f>
        <v>0</v>
      </c>
      <c r="W14" s="56">
        <f ca="1">U14*V14</f>
        <v>0</v>
      </c>
      <c r="X14" s="56">
        <f ca="1">IFERROR(FORECAST('D Actual'!O11, OFFSET(TTHH!$AV$10,MATCH('D Actual'!O11,TTHH!$AT$10:$AT$100,-1)-1,0,2), OFFSET(TTHH!$AT$10,MATCH('D Actual'!O11,TTHH!$AT$10:$AT$100,-1)-1,0,2)),0)</f>
        <v>0</v>
      </c>
      <c r="Y14" s="56">
        <f ca="1">U14*X14</f>
        <v>0</v>
      </c>
      <c r="Z14" s="52">
        <v>0</v>
      </c>
      <c r="AA14" s="56">
        <f>U14*Z14</f>
        <v>0</v>
      </c>
      <c r="AB14" s="18"/>
      <c r="AD14" s="52" t="s">
        <v>9</v>
      </c>
      <c r="AE14" s="56">
        <f ca="1">IFERROR(FORECAST('D Actual'!O11, OFFSET(TTHH!AU10,MATCH('D Actual'!O11,TTHH!$AT$10:$AT$100,-1)-1,0,2), OFFSET(TTHH!$AT$10,MATCH('D Actual'!O11,TTHH!$AT$10:$AT$100,-1)-1,0,2)),0)</f>
        <v>0</v>
      </c>
      <c r="AF14" s="56">
        <v>0</v>
      </c>
      <c r="AG14" s="56">
        <f ca="1">IFERROR(AE14/AF14,0)</f>
        <v>0</v>
      </c>
    </row>
    <row r="15" spans="6:33" x14ac:dyDescent="0.3">
      <c r="F15" s="52" t="s">
        <v>370</v>
      </c>
      <c r="G15" s="56">
        <f>M12</f>
        <v>3.4323439794401236E-2</v>
      </c>
      <c r="I15" s="54" t="s">
        <v>381</v>
      </c>
      <c r="J15" s="41"/>
      <c r="L15" s="29" t="s">
        <v>392</v>
      </c>
      <c r="M15" s="40">
        <f ca="1">IFERROR(M14-G11,"")</f>
        <v>9.0290514914172331</v>
      </c>
      <c r="O15" s="29" t="s">
        <v>396</v>
      </c>
      <c r="P15" s="32" t="str">
        <f ca="1">IFERROR(RADIANS(((P14-P13)*(40-M17))/2),"")</f>
        <v/>
      </c>
      <c r="T15" s="52" t="s">
        <v>10</v>
      </c>
      <c r="U15" s="56">
        <v>0</v>
      </c>
      <c r="V15" s="56">
        <f ca="1">IFERROR(FORECAST('D Actual'!O12, OFFSET(TTHH!$BD$10,MATCH('D Actual'!O12,TTHH!$BA$10:$BA$100,-1)-1,0,2), OFFSET(TTHH!$BA$10,MATCH('D Actual'!O12,TTHH!$BA$10:$BA$100,-1)-1,0,2)),0)</f>
        <v>0</v>
      </c>
      <c r="W15" s="56">
        <f ca="1">U15*V15</f>
        <v>0</v>
      </c>
      <c r="X15" s="56">
        <f ca="1">IFERROR(FORECAST('D Actual'!O12, OFFSET(TTHH!$BC$10,MATCH('D Actual'!O12,TTHH!$BA$10:$BA$100,-1)-1,0,2), OFFSET(TTHH!$BA$10,MATCH('D Actual'!O12,TTHH!$BA$10:$BA$100,-1)-1,0,2)),0)</f>
        <v>0</v>
      </c>
      <c r="Y15" s="56">
        <f ca="1">U15*X15</f>
        <v>0</v>
      </c>
      <c r="Z15" s="52">
        <v>0</v>
      </c>
      <c r="AA15" s="56">
        <f>U15*Z15</f>
        <v>0</v>
      </c>
      <c r="AB15" s="18"/>
      <c r="AD15" s="52" t="s">
        <v>10</v>
      </c>
      <c r="AE15" s="56">
        <f ca="1">IFERROR(FORECAST('D Actual'!O12, OFFSET(TTHH!BB10,MATCH('D Actual'!O12,TTHH!$BA$10:$BA$100,-1)-1,0,2), OFFSET(TTHH!$BA$10,MATCH('D Actual'!O12,TTHH!$BA$10:$BA$100,-1)-1,0,2)),0)</f>
        <v>0</v>
      </c>
      <c r="AF15" s="56">
        <v>0</v>
      </c>
      <c r="AG15" s="56">
        <f ca="1">IFERROR(AE15/AF15,0)</f>
        <v>0</v>
      </c>
    </row>
    <row r="16" spans="6:33" x14ac:dyDescent="0.3">
      <c r="F16" s="52" t="s">
        <v>373</v>
      </c>
      <c r="G16" s="26">
        <f ca="1">IFERROR(M15-M12,0)</f>
        <v>8.9947280516228325</v>
      </c>
      <c r="I16" s="52" t="s">
        <v>377</v>
      </c>
      <c r="J16" s="56">
        <f ca="1">IFERROR('Calados Act Sal Lleg'!F18,0)</f>
        <v>5.4238282537437081</v>
      </c>
      <c r="L16" s="29" t="s">
        <v>397</v>
      </c>
      <c r="M16" s="32">
        <f ca="1">IFERROR(ATAN(AG17/(G10*G16)),"")</f>
        <v>0</v>
      </c>
      <c r="O16" s="29" t="s">
        <v>550</v>
      </c>
      <c r="P16" s="32"/>
      <c r="T16" s="54" t="s">
        <v>19</v>
      </c>
      <c r="U16" s="38"/>
      <c r="V16" s="38"/>
      <c r="W16" s="38"/>
      <c r="X16" s="38"/>
      <c r="Y16" s="38"/>
      <c r="Z16" s="38"/>
      <c r="AA16" s="38"/>
      <c r="AB16" s="38"/>
      <c r="AD16" s="18"/>
      <c r="AE16" s="18"/>
      <c r="AF16" s="18"/>
      <c r="AG16" s="18"/>
    </row>
    <row r="17" spans="6:33" x14ac:dyDescent="0.3">
      <c r="F17" s="52" t="s">
        <v>371</v>
      </c>
      <c r="G17" s="34">
        <f ca="1">M17</f>
        <v>0</v>
      </c>
      <c r="I17" s="52" t="s">
        <v>378</v>
      </c>
      <c r="J17" s="56">
        <f ca="1">IFERROR('Calados Act Sal Lleg'!H18,0)</f>
        <v>6.4440667900213828</v>
      </c>
      <c r="L17" s="29" t="s">
        <v>398</v>
      </c>
      <c r="M17" s="32">
        <f ca="1">IFERROR(DEGREES(M16),"")</f>
        <v>0</v>
      </c>
      <c r="T17" s="52" t="s">
        <v>20</v>
      </c>
      <c r="U17" s="56" cm="1">
        <f t="array" ref="U17:U41">'D Actual'!Y8:Y32</f>
        <v>1921.1574999999998</v>
      </c>
      <c r="V17" s="52">
        <f>TTHH!G21</f>
        <v>9.3000000000000007</v>
      </c>
      <c r="W17" s="56">
        <f>U17*V17</f>
        <v>17866.764749999998</v>
      </c>
      <c r="X17" s="52">
        <f>TTHH!E21</f>
        <v>179.02</v>
      </c>
      <c r="Y17" s="56">
        <f t="shared" ref="Y17:Y61" si="0">U17*X17</f>
        <v>343925.61564999999</v>
      </c>
      <c r="Z17" s="52">
        <f>TTHH!F21</f>
        <v>0</v>
      </c>
      <c r="AA17" s="56">
        <f>U17*Z17</f>
        <v>0</v>
      </c>
      <c r="AB17" s="56">
        <f>IF(AND('D Actual'!Z8&lt;TTHH!D21,'D Actual'!Z8&lt;&gt;0),TTHH!H21,0)</f>
        <v>0</v>
      </c>
      <c r="AD17" s="18"/>
      <c r="AE17" s="18"/>
      <c r="AF17" s="52" t="s">
        <v>389</v>
      </c>
      <c r="AG17" s="56">
        <f ca="1">SUM(AG11:AG15)</f>
        <v>0</v>
      </c>
    </row>
    <row r="18" spans="6:33" x14ac:dyDescent="0.3">
      <c r="F18" s="52" t="s">
        <v>372</v>
      </c>
      <c r="G18" s="27" t="str">
        <f ca="1">P15</f>
        <v/>
      </c>
      <c r="I18" s="52" t="s">
        <v>379</v>
      </c>
      <c r="J18" s="56">
        <f ca="1">J14-0.022</f>
        <v>5.8938028618162353</v>
      </c>
      <c r="T18" s="52" t="s">
        <v>21</v>
      </c>
      <c r="U18" s="56">
        <v>251.63749999999999</v>
      </c>
      <c r="V18" s="52">
        <f>TTHH!G22</f>
        <v>0.91</v>
      </c>
      <c r="W18" s="56">
        <f t="shared" ref="W18:W79" si="1">U18*V18</f>
        <v>228.99012500000001</v>
      </c>
      <c r="X18" s="52">
        <f>TTHH!E22</f>
        <v>157.12</v>
      </c>
      <c r="Y18" s="56">
        <f t="shared" si="0"/>
        <v>39537.284</v>
      </c>
      <c r="Z18" s="52">
        <f>TTHH!F22</f>
        <v>-5.15</v>
      </c>
      <c r="AA18" s="56">
        <f t="shared" ref="AA18:AA79" si="2">U18*Z18</f>
        <v>-1295.933125</v>
      </c>
      <c r="AB18" s="56">
        <f>IF(AND('D Actual'!Z9&lt;TTHH!D22,'D Actual'!Z9&lt;&gt;0),TTHH!H22,0)</f>
        <v>0</v>
      </c>
    </row>
    <row r="19" spans="6:33" x14ac:dyDescent="0.3">
      <c r="T19" s="52" t="s">
        <v>25</v>
      </c>
      <c r="U19" s="56">
        <v>251.63749999999999</v>
      </c>
      <c r="V19" s="52">
        <f>TTHH!G23</f>
        <v>0.91</v>
      </c>
      <c r="W19" s="56">
        <f t="shared" si="1"/>
        <v>228.99012500000001</v>
      </c>
      <c r="X19" s="52">
        <f>TTHH!E23</f>
        <v>157.12</v>
      </c>
      <c r="Y19" s="56">
        <f t="shared" si="0"/>
        <v>39537.284</v>
      </c>
      <c r="Z19" s="52">
        <f>TTHH!F23</f>
        <v>5.15</v>
      </c>
      <c r="AA19" s="56">
        <f t="shared" si="2"/>
        <v>1295.933125</v>
      </c>
      <c r="AB19" s="56">
        <f>IF(AND('D Actual'!Z10&lt;TTHH!D23,'D Actual'!Z10&lt;&gt;0),TTHH!H23,0)</f>
        <v>0</v>
      </c>
    </row>
    <row r="20" spans="6:33" x14ac:dyDescent="0.3">
      <c r="T20" s="52" t="s">
        <v>23</v>
      </c>
      <c r="U20" s="56">
        <v>1093.5725</v>
      </c>
      <c r="V20" s="52">
        <f>TTHH!G24</f>
        <v>7.19</v>
      </c>
      <c r="W20" s="56">
        <f t="shared" si="1"/>
        <v>7862.7862750000004</v>
      </c>
      <c r="X20" s="52">
        <f>TTHH!E24</f>
        <v>158.83000000000001</v>
      </c>
      <c r="Y20" s="56">
        <f t="shared" si="0"/>
        <v>173692.12017500002</v>
      </c>
      <c r="Z20" s="52">
        <f>TTHH!F24</f>
        <v>-12.75</v>
      </c>
      <c r="AA20" s="56">
        <f t="shared" si="2"/>
        <v>-13943.049375000001</v>
      </c>
      <c r="AB20" s="56">
        <f>IF(AND('D Actual'!Z11&lt;TTHH!D24,'D Actual'!Z11&lt;&gt;0),TTHH!H24,0)</f>
        <v>0</v>
      </c>
    </row>
    <row r="21" spans="6:33" x14ac:dyDescent="0.3">
      <c r="T21" s="52" t="s">
        <v>26</v>
      </c>
      <c r="U21" s="56">
        <v>1093.5725</v>
      </c>
      <c r="V21" s="52">
        <f>TTHH!G25</f>
        <v>7.19</v>
      </c>
      <c r="W21" s="56">
        <f t="shared" si="1"/>
        <v>7862.7862750000004</v>
      </c>
      <c r="X21" s="52">
        <f>TTHH!E25</f>
        <v>158.83000000000001</v>
      </c>
      <c r="Y21" s="56">
        <f t="shared" si="0"/>
        <v>173692.12017500002</v>
      </c>
      <c r="Z21" s="52">
        <f>TTHH!F25</f>
        <v>12.75</v>
      </c>
      <c r="AA21" s="56">
        <f t="shared" si="2"/>
        <v>13943.049375000001</v>
      </c>
      <c r="AB21" s="56">
        <f>IF(AND('D Actual'!Z12&lt;TTHH!D25,'D Actual'!Z12&lt;&gt;0),TTHH!H25,0)</f>
        <v>0</v>
      </c>
    </row>
    <row r="22" spans="6:33" x14ac:dyDescent="0.3">
      <c r="T22" s="52" t="s">
        <v>22</v>
      </c>
      <c r="U22" s="56">
        <v>622.89250000000004</v>
      </c>
      <c r="V22" s="52">
        <f>TTHH!G26</f>
        <v>1.24</v>
      </c>
      <c r="W22" s="56">
        <f t="shared" si="1"/>
        <v>772.38670000000002</v>
      </c>
      <c r="X22" s="52">
        <f>TTHH!E26</f>
        <v>132.91</v>
      </c>
      <c r="Y22" s="56">
        <f t="shared" si="0"/>
        <v>82788.642175000001</v>
      </c>
      <c r="Z22" s="52">
        <f>TTHH!F26</f>
        <v>-7.49</v>
      </c>
      <c r="AA22" s="56">
        <f t="shared" si="2"/>
        <v>-4665.464825</v>
      </c>
      <c r="AB22" s="56">
        <f>IF(AND('D Actual'!Z13&lt;TTHH!D26,'D Actual'!Z13&lt;&gt;0),TTHH!H26,0)</f>
        <v>0</v>
      </c>
    </row>
    <row r="23" spans="6:33" x14ac:dyDescent="0.3">
      <c r="T23" s="52" t="s">
        <v>31</v>
      </c>
      <c r="U23" s="56">
        <v>622.89250000000004</v>
      </c>
      <c r="V23" s="52">
        <f>TTHH!G27</f>
        <v>1.24</v>
      </c>
      <c r="W23" s="56">
        <f t="shared" si="1"/>
        <v>772.38670000000002</v>
      </c>
      <c r="X23" s="52">
        <f>TTHH!E27</f>
        <v>132.91</v>
      </c>
      <c r="Y23" s="56">
        <f t="shared" si="0"/>
        <v>82788.642175000001</v>
      </c>
      <c r="Z23" s="52">
        <f>TTHH!F27</f>
        <v>7.49</v>
      </c>
      <c r="AA23" s="56">
        <f t="shared" si="2"/>
        <v>4665.464825</v>
      </c>
      <c r="AB23" s="56">
        <f>IF(AND('D Actual'!Z14&lt;TTHH!D27,'D Actual'!Z14&lt;&gt;0),TTHH!H27,0)</f>
        <v>0</v>
      </c>
    </row>
    <row r="24" spans="6:33" x14ac:dyDescent="0.3">
      <c r="F24" s="52" t="s">
        <v>542</v>
      </c>
      <c r="G24" s="56">
        <f ca="1">IFERROR(L40,0)</f>
        <v>0</v>
      </c>
      <c r="T24" s="52" t="s">
        <v>24</v>
      </c>
      <c r="U24" s="56">
        <v>1033.7124999999999</v>
      </c>
      <c r="V24" s="52">
        <f>TTHH!G28</f>
        <v>8.9</v>
      </c>
      <c r="W24" s="56">
        <f t="shared" si="1"/>
        <v>9200.0412499999984</v>
      </c>
      <c r="X24" s="52">
        <f>TTHH!E28</f>
        <v>130.6</v>
      </c>
      <c r="Y24" s="56">
        <f t="shared" si="0"/>
        <v>135002.85249999998</v>
      </c>
      <c r="Z24" s="52">
        <f>TTHH!F28</f>
        <v>-14.86</v>
      </c>
      <c r="AA24" s="56">
        <f t="shared" si="2"/>
        <v>-15360.967749999998</v>
      </c>
      <c r="AB24" s="56">
        <f>IF(AND('D Actual'!Z15&lt;TTHH!D28,'D Actual'!Z15&lt;&gt;0),TTHH!H28,0)</f>
        <v>0</v>
      </c>
    </row>
    <row r="25" spans="6:33" x14ac:dyDescent="0.3">
      <c r="F25" s="52" t="s">
        <v>543</v>
      </c>
      <c r="G25" s="56" cm="1">
        <f t="array" aca="1" ref="G25" ca="1">IFERROR(INDEX(G36:P36,,MATCH(MAX(G40:P40),G40:P40,0)),0)</f>
        <v>0</v>
      </c>
      <c r="T25" s="52" t="s">
        <v>32</v>
      </c>
      <c r="U25" s="56">
        <v>1033.7124999999999</v>
      </c>
      <c r="V25" s="52">
        <f>TTHH!G29</f>
        <v>8.9</v>
      </c>
      <c r="W25" s="56">
        <f t="shared" si="1"/>
        <v>9200.0412499999984</v>
      </c>
      <c r="X25" s="52">
        <f>TTHH!E29</f>
        <v>130.6</v>
      </c>
      <c r="Y25" s="56">
        <f t="shared" si="0"/>
        <v>135002.85249999998</v>
      </c>
      <c r="Z25" s="52">
        <f>TTHH!F29</f>
        <v>14.86</v>
      </c>
      <c r="AA25" s="56">
        <f t="shared" si="2"/>
        <v>15360.967749999998</v>
      </c>
      <c r="AB25" s="56">
        <f>IF(AND('D Actual'!Z16&lt;TTHH!D29,'D Actual'!Z16&lt;&gt;0),TTHH!H29,0)</f>
        <v>0</v>
      </c>
    </row>
    <row r="26" spans="6:33" x14ac:dyDescent="0.3">
      <c r="F26" s="52" t="s">
        <v>544</v>
      </c>
      <c r="G26" s="56" cm="1">
        <f t="array" aca="1" ref="G26:G28" ca="1">IFERROR(G54:G56,0)</f>
        <v>0</v>
      </c>
      <c r="T26" s="52" t="s">
        <v>33</v>
      </c>
      <c r="U26" s="56">
        <v>622.89250000000004</v>
      </c>
      <c r="V26" s="52">
        <f>TTHH!G30</f>
        <v>1.24</v>
      </c>
      <c r="W26" s="56">
        <f t="shared" si="1"/>
        <v>772.38670000000002</v>
      </c>
      <c r="X26" s="52">
        <f>TTHH!E30</f>
        <v>104.11</v>
      </c>
      <c r="Y26" s="56">
        <f t="shared" si="0"/>
        <v>64849.338175000004</v>
      </c>
      <c r="Z26" s="52">
        <f>TTHH!F30</f>
        <v>-7.49</v>
      </c>
      <c r="AA26" s="56">
        <f t="shared" si="2"/>
        <v>-4665.464825</v>
      </c>
      <c r="AB26" s="56">
        <f>IF(AND('D Actual'!Z17&lt;TTHH!D30,'D Actual'!Z17&lt;&gt;0),TTHH!H30,0)</f>
        <v>0</v>
      </c>
    </row>
    <row r="27" spans="6:33" x14ac:dyDescent="0.3">
      <c r="F27" s="52" t="s">
        <v>545</v>
      </c>
      <c r="G27" s="56">
        <f ca="1"/>
        <v>0</v>
      </c>
      <c r="T27" s="52" t="s">
        <v>34</v>
      </c>
      <c r="U27" s="56">
        <v>622.89250000000004</v>
      </c>
      <c r="V27" s="52">
        <f>TTHH!G31</f>
        <v>1.24</v>
      </c>
      <c r="W27" s="56">
        <f t="shared" si="1"/>
        <v>772.38670000000002</v>
      </c>
      <c r="X27" s="52">
        <f>TTHH!E31</f>
        <v>104.11</v>
      </c>
      <c r="Y27" s="56">
        <f t="shared" si="0"/>
        <v>64849.338175000004</v>
      </c>
      <c r="Z27" s="52">
        <f>TTHH!F31</f>
        <v>7.49</v>
      </c>
      <c r="AA27" s="56">
        <f t="shared" si="2"/>
        <v>4665.464825</v>
      </c>
      <c r="AB27" s="56">
        <f>IF(AND('D Actual'!Z18&lt;TTHH!D31,'D Actual'!Z18&lt;&gt;0),TTHH!H31,0)</f>
        <v>0</v>
      </c>
    </row>
    <row r="28" spans="6:33" x14ac:dyDescent="0.3">
      <c r="F28" s="52" t="s">
        <v>546</v>
      </c>
      <c r="G28" s="56">
        <f ca="1"/>
        <v>0</v>
      </c>
      <c r="T28" s="52" t="s">
        <v>35</v>
      </c>
      <c r="U28" s="56">
        <v>1035.0449999999998</v>
      </c>
      <c r="V28" s="52">
        <f>TTHH!G32</f>
        <v>8.89</v>
      </c>
      <c r="W28" s="56">
        <f t="shared" si="1"/>
        <v>9201.5500499999998</v>
      </c>
      <c r="X28" s="52">
        <f>TTHH!E32</f>
        <v>101.82</v>
      </c>
      <c r="Y28" s="56">
        <f t="shared" si="0"/>
        <v>105388.28189999997</v>
      </c>
      <c r="Z28" s="52">
        <f>TTHH!F32</f>
        <v>-14.86</v>
      </c>
      <c r="AA28" s="56">
        <f t="shared" si="2"/>
        <v>-15380.768699999997</v>
      </c>
      <c r="AB28" s="56">
        <f>IF(AND('D Actual'!Z19&lt;TTHH!D32,'D Actual'!Z19&lt;&gt;0),TTHH!H32,0)</f>
        <v>0</v>
      </c>
    </row>
    <row r="29" spans="6:33" x14ac:dyDescent="0.3">
      <c r="T29" s="52" t="s">
        <v>36</v>
      </c>
      <c r="U29" s="56">
        <v>1035.0449999999998</v>
      </c>
      <c r="V29" s="52">
        <f>TTHH!G33</f>
        <v>8.89</v>
      </c>
      <c r="W29" s="56">
        <f t="shared" si="1"/>
        <v>9201.5500499999998</v>
      </c>
      <c r="X29" s="52">
        <f>TTHH!E33</f>
        <v>101.82</v>
      </c>
      <c r="Y29" s="56">
        <f t="shared" si="0"/>
        <v>105388.28189999997</v>
      </c>
      <c r="Z29" s="52">
        <f>TTHH!F33</f>
        <v>14.86</v>
      </c>
      <c r="AA29" s="56">
        <f t="shared" si="2"/>
        <v>15380.768699999997</v>
      </c>
      <c r="AB29" s="56">
        <f>IF(AND('D Actual'!Z20&lt;TTHH!D33,'D Actual'!Z20&lt;&gt;0),TTHH!H33,0)</f>
        <v>0</v>
      </c>
    </row>
    <row r="30" spans="6:33" x14ac:dyDescent="0.3">
      <c r="T30" s="52" t="s">
        <v>37</v>
      </c>
      <c r="U30" s="56">
        <v>622.89250000000004</v>
      </c>
      <c r="V30" s="52">
        <f>TTHH!G34</f>
        <v>1.24</v>
      </c>
      <c r="W30" s="56">
        <f t="shared" si="1"/>
        <v>772.38670000000002</v>
      </c>
      <c r="X30" s="52">
        <f>TTHH!E34</f>
        <v>75.31</v>
      </c>
      <c r="Y30" s="56">
        <f t="shared" si="0"/>
        <v>46910.034175000008</v>
      </c>
      <c r="Z30" s="52">
        <f>TTHH!F34</f>
        <v>-7.49</v>
      </c>
      <c r="AA30" s="56">
        <f t="shared" si="2"/>
        <v>-4665.464825</v>
      </c>
      <c r="AB30" s="56">
        <f>IF(AND('D Actual'!Z21&lt;TTHH!D34,'D Actual'!Z21&lt;&gt;0),TTHH!H34,0)</f>
        <v>0</v>
      </c>
    </row>
    <row r="31" spans="6:33" x14ac:dyDescent="0.3">
      <c r="T31" s="52" t="s">
        <v>38</v>
      </c>
      <c r="U31" s="56">
        <v>622.89250000000004</v>
      </c>
      <c r="V31" s="52">
        <f>TTHH!G35</f>
        <v>1.24</v>
      </c>
      <c r="W31" s="56">
        <f t="shared" si="1"/>
        <v>772.38670000000002</v>
      </c>
      <c r="X31" s="52">
        <f>TTHH!E35</f>
        <v>75.31</v>
      </c>
      <c r="Y31" s="56">
        <f t="shared" si="0"/>
        <v>46910.034175000008</v>
      </c>
      <c r="Z31" s="52">
        <f>TTHH!F35</f>
        <v>7.49</v>
      </c>
      <c r="AA31" s="56">
        <f t="shared" si="2"/>
        <v>4665.464825</v>
      </c>
      <c r="AB31" s="56">
        <f>IF(AND('D Actual'!Z22&lt;TTHH!D35,'D Actual'!Z22&lt;&gt;0),TTHH!H35,0)</f>
        <v>0</v>
      </c>
    </row>
    <row r="32" spans="6:33" x14ac:dyDescent="0.3">
      <c r="T32" s="52" t="s">
        <v>39</v>
      </c>
      <c r="U32" s="56">
        <v>0</v>
      </c>
      <c r="V32" s="52">
        <f>TTHH!G36</f>
        <v>8.98</v>
      </c>
      <c r="W32" s="56">
        <f t="shared" si="1"/>
        <v>0</v>
      </c>
      <c r="X32" s="52">
        <f>TTHH!E36</f>
        <v>73.13</v>
      </c>
      <c r="Y32" s="56">
        <f t="shared" si="0"/>
        <v>0</v>
      </c>
      <c r="Z32" s="52">
        <f>TTHH!F36</f>
        <v>-14.85</v>
      </c>
      <c r="AA32" s="56">
        <f t="shared" si="2"/>
        <v>0</v>
      </c>
      <c r="AB32" s="56">
        <f>IF(AND('D Actual'!Z23&lt;TTHH!D36,'D Actual'!Z23&lt;&gt;0),TTHH!H36,0)</f>
        <v>0</v>
      </c>
    </row>
    <row r="33" spans="6:28" x14ac:dyDescent="0.3">
      <c r="T33" s="52" t="s">
        <v>40</v>
      </c>
      <c r="U33" s="56">
        <v>214.841025</v>
      </c>
      <c r="V33" s="52">
        <f>TTHH!G37</f>
        <v>8.98</v>
      </c>
      <c r="W33" s="56">
        <f t="shared" si="1"/>
        <v>1929.2724045000002</v>
      </c>
      <c r="X33" s="52">
        <f>TTHH!E37</f>
        <v>73.13</v>
      </c>
      <c r="Y33" s="56">
        <f t="shared" si="0"/>
        <v>15711.32415825</v>
      </c>
      <c r="Z33" s="52">
        <f>TTHH!F37</f>
        <v>14.85</v>
      </c>
      <c r="AA33" s="56">
        <f t="shared" si="2"/>
        <v>3190.38922125</v>
      </c>
      <c r="AB33" s="56">
        <f>IF(AND('D Actual'!Z24&lt;TTHH!D37,'D Actual'!Z24&lt;&gt;0),TTHH!H37,0)</f>
        <v>89</v>
      </c>
    </row>
    <row r="34" spans="6:28" x14ac:dyDescent="0.3">
      <c r="T34" s="52" t="s">
        <v>41</v>
      </c>
      <c r="U34" s="56">
        <v>445.97749999999996</v>
      </c>
      <c r="V34" s="52">
        <f>TTHH!G38</f>
        <v>1.38</v>
      </c>
      <c r="W34" s="56">
        <f t="shared" si="1"/>
        <v>615.44894999999985</v>
      </c>
      <c r="X34" s="52">
        <f>TTHH!E38</f>
        <v>49.43</v>
      </c>
      <c r="Y34" s="56">
        <f t="shared" si="0"/>
        <v>22044.667824999997</v>
      </c>
      <c r="Z34" s="52">
        <f>TTHH!F38</f>
        <v>-6.38</v>
      </c>
      <c r="AA34" s="56">
        <f t="shared" si="2"/>
        <v>-2845.3364499999998</v>
      </c>
      <c r="AB34" s="56">
        <f>IF(AND('D Actual'!Z25&lt;TTHH!D38,'D Actual'!Z25&lt;&gt;0),TTHH!H38,0)</f>
        <v>0</v>
      </c>
    </row>
    <row r="35" spans="6:28" x14ac:dyDescent="0.3">
      <c r="T35" s="52" t="s">
        <v>42</v>
      </c>
      <c r="U35" s="56">
        <v>445.97749999999996</v>
      </c>
      <c r="V35" s="52">
        <f>TTHH!G39</f>
        <v>1.38</v>
      </c>
      <c r="W35" s="56">
        <f t="shared" si="1"/>
        <v>615.44894999999985</v>
      </c>
      <c r="X35" s="52">
        <f>TTHH!E39</f>
        <v>49.43</v>
      </c>
      <c r="Y35" s="56">
        <f t="shared" si="0"/>
        <v>22044.667824999997</v>
      </c>
      <c r="Z35" s="52">
        <f>TTHH!F39</f>
        <v>6.38</v>
      </c>
      <c r="AA35" s="56">
        <f t="shared" si="2"/>
        <v>2845.3364499999998</v>
      </c>
      <c r="AB35" s="56">
        <f>IF(AND('D Actual'!Z26&lt;TTHH!D39,'D Actual'!Z26&lt;&gt;0),TTHH!H39,0)</f>
        <v>0</v>
      </c>
    </row>
    <row r="36" spans="6:28" x14ac:dyDescent="0.3">
      <c r="F36" s="29" t="s">
        <v>547</v>
      </c>
      <c r="G36" s="29">
        <v>0</v>
      </c>
      <c r="H36" s="29">
        <v>5</v>
      </c>
      <c r="I36" s="29">
        <v>10</v>
      </c>
      <c r="J36" s="29">
        <v>12</v>
      </c>
      <c r="K36" s="29">
        <v>20</v>
      </c>
      <c r="L36" s="29">
        <v>30</v>
      </c>
      <c r="M36" s="29">
        <v>40</v>
      </c>
      <c r="N36" s="29">
        <v>50</v>
      </c>
      <c r="O36" s="29">
        <v>60</v>
      </c>
      <c r="P36" s="29">
        <v>75</v>
      </c>
      <c r="T36" s="52" t="s">
        <v>43</v>
      </c>
      <c r="U36" s="56">
        <v>865.30499999999995</v>
      </c>
      <c r="V36" s="52">
        <f>TTHH!G40</f>
        <v>5.76</v>
      </c>
      <c r="W36" s="56">
        <f t="shared" si="1"/>
        <v>4984.1567999999997</v>
      </c>
      <c r="X36" s="52">
        <f>TTHH!E40</f>
        <v>41</v>
      </c>
      <c r="Y36" s="56">
        <f t="shared" si="0"/>
        <v>35477.504999999997</v>
      </c>
      <c r="Z36" s="52">
        <f>TTHH!F40</f>
        <v>-12.97</v>
      </c>
      <c r="AA36" s="56">
        <f t="shared" si="2"/>
        <v>-11223.00585</v>
      </c>
      <c r="AB36" s="56">
        <f>IF(AND('D Actual'!Z27&lt;TTHH!D40,'D Actual'!Z27&lt;&gt;0),TTHH!H40,0)</f>
        <v>0</v>
      </c>
    </row>
    <row r="37" spans="6:28" x14ac:dyDescent="0.3">
      <c r="F37" s="29" t="s">
        <v>390</v>
      </c>
      <c r="G37" s="32">
        <v>0</v>
      </c>
      <c r="H37" s="32" t="str">
        <f ca="1">IFERROR(FORECAST('D Máximos'!F12, OFFSET(TTHH!CM10, MATCH('D Máximos'!F12,Tabla4[[#All],[Columna1]],1)-1, 0, 2), OFFSET(TTHH!CL10, MATCH('D Máximos'!F12,Tabla4[[#All],[Columna1]],1)-1, 0, 2)),"")</f>
        <v/>
      </c>
      <c r="I37" s="32" t="str">
        <f ca="1">IFERROR(FORECAST('D Máximos'!F12, OFFSET(TTHH!CN10, MATCH('D Máximos'!F12,Tabla4[[#All],[Columna1]],1)-1, 0, 2), OFFSET(TTHH!CL10, MATCH('D Máximos'!F12,Tabla4[[#All],[Columna1]],1)-1, 0, 2)),"")</f>
        <v/>
      </c>
      <c r="J37" s="32" t="str">
        <f ca="1">IFERROR(FORECAST('D Máximos'!F12, OFFSET(TTHH!CO10, MATCH('D Máximos'!F12,Tabla4[[#All],[Columna1]],1)-1, 0, 2), OFFSET(TTHH!CL10, MATCH('D Máximos'!F12,Tabla4[[#All],[Columna1]],1)-1, 0, 2)),"")</f>
        <v/>
      </c>
      <c r="K37" s="32" t="str">
        <f ca="1">IFERROR(FORECAST('D Máximos'!F12, OFFSET(TTHH!CP10, MATCH('D Máximos'!F12,Tabla4[[#All],[Columna1]],1)-1, 0, 2), OFFSET(TTHH!CL10, MATCH('D Máximos'!F12,Tabla4[[#All],[Columna1]],1)-1, 0, 2)),"")</f>
        <v/>
      </c>
      <c r="L37" s="32" t="str">
        <f ca="1">IFERROR(FORECAST('D Máximos'!F12, OFFSET(TTHH!CQ10, MATCH('D Máximos'!F12,Tabla4[[#All],[Columna1]],1)-1, 0, 2), OFFSET(TTHH!CL10, MATCH('D Máximos'!F12,Tabla4[[#All],[Columna1]],1)-1, 0, 2)),"")</f>
        <v/>
      </c>
      <c r="M37" s="32" t="str">
        <f ca="1">IFERROR(FORECAST('D Máximos'!F12, OFFSET(TTHH!CR10, MATCH('D Máximos'!F12,Tabla4[[#All],[Columna1]],1)-1, 0, 2), OFFSET(TTHH!CL10, MATCH('D Máximos'!F12,Tabla4[[#All],[Columna1]],1)-1, 0, 2)),"")</f>
        <v/>
      </c>
      <c r="N37" s="32" t="str">
        <f ca="1">IFERROR(FORECAST('D Máximos'!F12, OFFSET(TTHH!CS10, MATCH('D Máximos'!F12,Tabla4[[#All],[Columna1]],1)-1, 0, 2), OFFSET(TTHH!CL10, MATCH('D Máximos'!F12,Tabla4[[#All],[Columna1]],1)-1, 0, 2)),"")</f>
        <v/>
      </c>
      <c r="O37" s="32" t="str">
        <f ca="1">IFERROR(FORECAST('D Máximos'!F12, OFFSET(TTHH!CT10, MATCH('D Máximos'!F12,Tabla4[[#All],[Columna1]],1)-1, 0, 2), OFFSET(TTHH!CL10, MATCH('D Máximos'!F12,Tabla4[[#All],[Columna1]],1)-1, 0, 2)),"")</f>
        <v/>
      </c>
      <c r="P37" s="32" t="str">
        <f ca="1">IFERROR(FORECAST('D Máximos'!F12, OFFSET(TTHH!CU10, MATCH('D Máximos'!F12,Tabla4[[#All],[Columna1]],1)-1, 0, 2), OFFSET(TTHH!CL10, MATCH('D Máximos'!F12,Tabla4[[#All],[Columna1]],1)-1, 0, 2)),"")</f>
        <v/>
      </c>
      <c r="T37" s="52" t="s">
        <v>44</v>
      </c>
      <c r="U37" s="56">
        <v>865.30499999999995</v>
      </c>
      <c r="V37" s="52">
        <f>TTHH!G41</f>
        <v>5.76</v>
      </c>
      <c r="W37" s="56">
        <f t="shared" si="1"/>
        <v>4984.1567999999997</v>
      </c>
      <c r="X37" s="52">
        <f>TTHH!E41</f>
        <v>41</v>
      </c>
      <c r="Y37" s="56">
        <f t="shared" si="0"/>
        <v>35477.504999999997</v>
      </c>
      <c r="Z37" s="52">
        <f>TTHH!F41</f>
        <v>12.97</v>
      </c>
      <c r="AA37" s="56">
        <f t="shared" si="2"/>
        <v>11223.00585</v>
      </c>
      <c r="AB37" s="56">
        <f>IF(AND('D Actual'!Z28&lt;TTHH!D41,'D Actual'!Z28&lt;&gt;0),TTHH!H41,0)</f>
        <v>0</v>
      </c>
    </row>
    <row r="38" spans="6:28" x14ac:dyDescent="0.3">
      <c r="F38" s="29" t="s">
        <v>548</v>
      </c>
      <c r="G38" s="32">
        <f ca="1">$G$12*SIN(RADIANS(G36))</f>
        <v>0</v>
      </c>
      <c r="H38" s="32">
        <f t="shared" ref="H38:P38" ca="1" si="3">$G$12*SIN(RADIANS(H36))</f>
        <v>0.74708184021364621</v>
      </c>
      <c r="I38" s="32">
        <f t="shared" ca="1" si="3"/>
        <v>1.4884779365229179</v>
      </c>
      <c r="J38" s="32">
        <f t="shared" ca="1" si="3"/>
        <v>1.7821780146809185</v>
      </c>
      <c r="K38" s="32">
        <f t="shared" ca="1" si="3"/>
        <v>2.9317292241507658</v>
      </c>
      <c r="L38" s="32">
        <f t="shared" ca="1" si="3"/>
        <v>4.2859014028293609</v>
      </c>
      <c r="M38" s="32">
        <f t="shared" ca="1" si="3"/>
        <v>5.509848636153742</v>
      </c>
      <c r="N38" s="32">
        <f t="shared" ca="1" si="3"/>
        <v>6.5663819067865301</v>
      </c>
      <c r="O38" s="32">
        <f t="shared" ca="1" si="3"/>
        <v>7.42339898593118</v>
      </c>
      <c r="P38" s="32">
        <f t="shared" ca="1" si="3"/>
        <v>8.2797257078428572</v>
      </c>
      <c r="T38" s="52" t="s">
        <v>30</v>
      </c>
      <c r="U38" s="56">
        <v>0</v>
      </c>
      <c r="V38" s="52">
        <f>TTHH!G42</f>
        <v>15.71</v>
      </c>
      <c r="W38" s="56">
        <f t="shared" si="1"/>
        <v>0</v>
      </c>
      <c r="X38" s="52">
        <f>TTHH!E42</f>
        <v>42.71</v>
      </c>
      <c r="Y38" s="56">
        <f t="shared" si="0"/>
        <v>0</v>
      </c>
      <c r="Z38" s="52">
        <f>TTHH!F42</f>
        <v>-14.54</v>
      </c>
      <c r="AA38" s="56">
        <f t="shared" si="2"/>
        <v>0</v>
      </c>
      <c r="AB38" s="56">
        <f>IF(AND('D Actual'!Z29&lt;TTHH!D42,'D Actual'!Z29&lt;&gt;0),TTHH!H42,0)</f>
        <v>0</v>
      </c>
    </row>
    <row r="39" spans="6:28" x14ac:dyDescent="0.3">
      <c r="F39" s="29" t="s">
        <v>551</v>
      </c>
      <c r="G39" s="32">
        <f>ABS($G$14)*COS(RADIANS(G36))</f>
        <v>3.1179788842937216E-3</v>
      </c>
      <c r="H39" s="32">
        <f t="shared" ref="H39:P39" si="4">ABS($G$14)*COS(RADIANS(H36))</f>
        <v>3.1061140332954216E-3</v>
      </c>
      <c r="I39" s="32">
        <f t="shared" si="4"/>
        <v>3.0706097789808115E-3</v>
      </c>
      <c r="J39" s="32">
        <f t="shared" si="4"/>
        <v>3.049843564810572E-3</v>
      </c>
      <c r="K39" s="32">
        <f t="shared" si="4"/>
        <v>2.9299417493370899E-3</v>
      </c>
      <c r="L39" s="32">
        <f t="shared" si="4"/>
        <v>2.7002489222618239E-3</v>
      </c>
      <c r="M39" s="32">
        <f t="shared" si="4"/>
        <v>2.3885103980755165E-3</v>
      </c>
      <c r="N39" s="32">
        <f t="shared" si="4"/>
        <v>2.0041981940882641E-3</v>
      </c>
      <c r="O39" s="32">
        <f t="shared" si="4"/>
        <v>1.5589894421468612E-3</v>
      </c>
      <c r="P39" s="32">
        <f t="shared" si="4"/>
        <v>8.06992317482724E-4</v>
      </c>
      <c r="T39" s="52" t="s">
        <v>29</v>
      </c>
      <c r="U39" s="56">
        <v>0</v>
      </c>
      <c r="V39" s="52">
        <f>TTHH!G43</f>
        <v>15.71</v>
      </c>
      <c r="W39" s="56">
        <f t="shared" si="1"/>
        <v>0</v>
      </c>
      <c r="X39" s="52">
        <f>TTHH!E43</f>
        <v>42.71</v>
      </c>
      <c r="Y39" s="56">
        <f t="shared" si="0"/>
        <v>0</v>
      </c>
      <c r="Z39" s="52">
        <f>TTHH!F43</f>
        <v>14.54</v>
      </c>
      <c r="AA39" s="56">
        <f t="shared" si="2"/>
        <v>0</v>
      </c>
      <c r="AB39" s="56">
        <f>IF(AND('D Actual'!Z30&lt;TTHH!D43,'D Actual'!Z30&lt;&gt;0),TTHH!H43,0)</f>
        <v>0</v>
      </c>
    </row>
    <row r="40" spans="6:28" x14ac:dyDescent="0.3">
      <c r="F40" s="29" t="s">
        <v>549</v>
      </c>
      <c r="G40" s="32">
        <f ca="1">G37-G38-G39</f>
        <v>-3.1179788842937216E-3</v>
      </c>
      <c r="H40" s="32" t="e">
        <f t="shared" ref="H40:P40" ca="1" si="5">H37-H38-H39</f>
        <v>#VALUE!</v>
      </c>
      <c r="I40" s="32" t="e">
        <f t="shared" ca="1" si="5"/>
        <v>#VALUE!</v>
      </c>
      <c r="J40" s="32" t="e">
        <f t="shared" ca="1" si="5"/>
        <v>#VALUE!</v>
      </c>
      <c r="K40" s="32" t="e">
        <f t="shared" ca="1" si="5"/>
        <v>#VALUE!</v>
      </c>
      <c r="L40" s="32" t="e">
        <f t="shared" ca="1" si="5"/>
        <v>#VALUE!</v>
      </c>
      <c r="M40" s="32" t="e">
        <f t="shared" ca="1" si="5"/>
        <v>#VALUE!</v>
      </c>
      <c r="N40" s="32" t="e">
        <f t="shared" ca="1" si="5"/>
        <v>#VALUE!</v>
      </c>
      <c r="O40" s="32" t="e">
        <f t="shared" ca="1" si="5"/>
        <v>#VALUE!</v>
      </c>
      <c r="P40" s="32" t="e">
        <f t="shared" ca="1" si="5"/>
        <v>#VALUE!</v>
      </c>
      <c r="T40" s="52" t="s">
        <v>28</v>
      </c>
      <c r="U40" s="56">
        <v>0</v>
      </c>
      <c r="V40" s="52">
        <f>TTHH!G44</f>
        <v>11.53</v>
      </c>
      <c r="W40" s="56">
        <f t="shared" si="1"/>
        <v>0</v>
      </c>
      <c r="X40" s="52">
        <f>TTHH!E44</f>
        <v>2.33</v>
      </c>
      <c r="Y40" s="56">
        <f t="shared" si="0"/>
        <v>0</v>
      </c>
      <c r="Z40" s="52">
        <f>TTHH!F44</f>
        <v>0</v>
      </c>
      <c r="AA40" s="56">
        <f t="shared" si="2"/>
        <v>0</v>
      </c>
      <c r="AB40" s="56">
        <f>IF(AND('D Actual'!Z31&lt;TTHH!D44,'D Actual'!Z31&lt;&gt;0),TTHH!H44,0)</f>
        <v>0</v>
      </c>
    </row>
    <row r="41" spans="6:28" x14ac:dyDescent="0.3">
      <c r="T41" s="52" t="s">
        <v>27</v>
      </c>
      <c r="U41" s="56">
        <v>0</v>
      </c>
      <c r="V41" s="52">
        <f>TTHH!G45</f>
        <v>10.210000000000001</v>
      </c>
      <c r="W41" s="56">
        <f t="shared" si="1"/>
        <v>0</v>
      </c>
      <c r="X41" s="52">
        <f>TTHH!E45</f>
        <v>101.22</v>
      </c>
      <c r="Y41" s="56">
        <f t="shared" si="0"/>
        <v>0</v>
      </c>
      <c r="Z41" s="52">
        <f>TTHH!F45</f>
        <v>0</v>
      </c>
      <c r="AA41" s="56">
        <f t="shared" si="2"/>
        <v>0</v>
      </c>
      <c r="AB41" s="56">
        <f>IF(AND('D Actual'!Z32&lt;TTHH!D45,'D Actual'!Z32&lt;&gt;0),TTHH!H45,0)</f>
        <v>0</v>
      </c>
    </row>
    <row r="42" spans="6:28" x14ac:dyDescent="0.3">
      <c r="F42" s="29" t="s">
        <v>547</v>
      </c>
      <c r="G42" s="29" t="s">
        <v>549</v>
      </c>
      <c r="H42" s="29" t="s">
        <v>552</v>
      </c>
      <c r="I42" s="29" t="s">
        <v>553</v>
      </c>
      <c r="T42" s="54" t="s">
        <v>46</v>
      </c>
      <c r="U42" s="38"/>
      <c r="V42" s="38"/>
      <c r="W42" s="38"/>
      <c r="X42" s="38"/>
      <c r="Y42" s="38"/>
      <c r="Z42" s="38"/>
      <c r="AA42" s="38"/>
      <c r="AB42" s="38"/>
    </row>
    <row r="43" spans="6:28" x14ac:dyDescent="0.3">
      <c r="F43" s="29">
        <v>0</v>
      </c>
      <c r="G43" s="32">
        <f ca="1">LOOKUP(F43,$G$36:$P$36,$G$40:$P$40)</f>
        <v>-3.1179788842937216E-3</v>
      </c>
      <c r="H43" s="30">
        <v>1</v>
      </c>
      <c r="I43" s="32">
        <f ca="1">G43*H43</f>
        <v>-3.1179788842937216E-3</v>
      </c>
      <c r="T43" s="52" t="s">
        <v>47</v>
      </c>
      <c r="U43" s="56" cm="1">
        <f t="array" ref="U43:U51">'D Actual'!N16:N24</f>
        <v>412.20499999999998</v>
      </c>
      <c r="V43" s="52" cm="1">
        <f t="array" ref="V43:V51">Tabla18[[#All],[Columna5]]</f>
        <v>12.56</v>
      </c>
      <c r="W43" s="56">
        <f t="shared" si="1"/>
        <v>5177.2947999999997</v>
      </c>
      <c r="X43" s="52" cm="1">
        <f t="array" ref="X43:X51">Tabla18[[#All],[Columna3]]</f>
        <v>23.89</v>
      </c>
      <c r="Y43" s="56">
        <f t="shared" si="0"/>
        <v>9847.5774500000007</v>
      </c>
      <c r="Z43" s="52" cm="1">
        <f t="array" ref="Z43:Z51">Tabla18[[#All],[Columna4]]</f>
        <v>-9.91</v>
      </c>
      <c r="AA43" s="56">
        <f t="shared" si="2"/>
        <v>-4084.9515499999998</v>
      </c>
      <c r="AB43" s="56">
        <f>IF(AND('D Actual'!O16&lt;TTHH!D53,'D Actual'!O16&lt;&gt;0),TTHH!H53,0)</f>
        <v>0</v>
      </c>
    </row>
    <row r="44" spans="6:28" x14ac:dyDescent="0.3">
      <c r="F44" s="29">
        <v>5</v>
      </c>
      <c r="G44" s="32" t="e">
        <f t="shared" ref="G44:G52" ca="1" si="6">LOOKUP(F44,$G$36:$P$36,$G$40:$P$40)</f>
        <v>#VALUE!</v>
      </c>
      <c r="H44" s="30">
        <v>4</v>
      </c>
      <c r="I44" s="32" t="e">
        <f t="shared" ref="I44:I52" ca="1" si="7">G44*H44</f>
        <v>#VALUE!</v>
      </c>
      <c r="T44" s="52" t="s">
        <v>48</v>
      </c>
      <c r="U44" s="56">
        <v>326.22999999999996</v>
      </c>
      <c r="V44" s="52">
        <v>12.31</v>
      </c>
      <c r="W44" s="56">
        <f t="shared" si="1"/>
        <v>4015.8912999999998</v>
      </c>
      <c r="X44" s="52">
        <v>24.07</v>
      </c>
      <c r="Y44" s="56">
        <f t="shared" si="0"/>
        <v>7852.3560999999991</v>
      </c>
      <c r="Z44" s="52">
        <v>10.62</v>
      </c>
      <c r="AA44" s="56">
        <f t="shared" si="2"/>
        <v>3464.5625999999993</v>
      </c>
      <c r="AB44" s="56">
        <f>IF(AND('D Actual'!O17&lt;TTHH!D54,'D Actual'!O17&lt;&gt;0),TTHH!H54,0)</f>
        <v>0</v>
      </c>
    </row>
    <row r="45" spans="6:28" x14ac:dyDescent="0.3">
      <c r="F45" s="29">
        <v>10</v>
      </c>
      <c r="G45" s="32" t="e">
        <f t="shared" ca="1" si="6"/>
        <v>#VALUE!</v>
      </c>
      <c r="H45" s="30">
        <v>2</v>
      </c>
      <c r="I45" s="32" t="e">
        <f t="shared" ca="1" si="7"/>
        <v>#VALUE!</v>
      </c>
      <c r="T45" s="52" t="s">
        <v>49</v>
      </c>
      <c r="U45" s="56">
        <v>354.57799999999997</v>
      </c>
      <c r="V45" s="52">
        <v>12.38</v>
      </c>
      <c r="W45" s="56">
        <f t="shared" si="1"/>
        <v>4389.6756400000004</v>
      </c>
      <c r="X45" s="52">
        <v>17.920000000000002</v>
      </c>
      <c r="Y45" s="56">
        <f t="shared" si="0"/>
        <v>6354.0377600000002</v>
      </c>
      <c r="Z45" s="52">
        <v>-9.4600000000000009</v>
      </c>
      <c r="AA45" s="56">
        <f t="shared" si="2"/>
        <v>-3354.3078799999998</v>
      </c>
      <c r="AB45" s="56">
        <f>IF(AND('D Actual'!O18&lt;TTHH!D55,'D Actual'!O18&lt;&gt;0),TTHH!H55,0)</f>
        <v>592</v>
      </c>
    </row>
    <row r="46" spans="6:28" x14ac:dyDescent="0.3">
      <c r="F46" s="29">
        <v>12</v>
      </c>
      <c r="G46" s="32" t="e">
        <f t="shared" ca="1" si="6"/>
        <v>#VALUE!</v>
      </c>
      <c r="H46" s="30">
        <v>4</v>
      </c>
      <c r="I46" s="32" t="e">
        <f t="shared" ca="1" si="7"/>
        <v>#VALUE!</v>
      </c>
      <c r="T46" s="52" t="s">
        <v>50</v>
      </c>
      <c r="U46" s="56">
        <v>0</v>
      </c>
      <c r="V46" s="52">
        <v>12.39</v>
      </c>
      <c r="W46" s="56">
        <f t="shared" si="1"/>
        <v>0</v>
      </c>
      <c r="X46" s="52">
        <v>17.47</v>
      </c>
      <c r="Y46" s="56">
        <f t="shared" si="0"/>
        <v>0</v>
      </c>
      <c r="Z46" s="52">
        <v>9.93</v>
      </c>
      <c r="AA46" s="56">
        <f t="shared" si="2"/>
        <v>0</v>
      </c>
      <c r="AB46" s="56">
        <f>IF(AND('D Actual'!O19&lt;TTHH!D56,'D Actual'!O19&lt;&gt;0),TTHH!H56,0)</f>
        <v>0</v>
      </c>
    </row>
    <row r="47" spans="6:28" x14ac:dyDescent="0.3">
      <c r="F47" s="29">
        <v>20</v>
      </c>
      <c r="G47" s="32" t="e">
        <f t="shared" ca="1" si="6"/>
        <v>#VALUE!</v>
      </c>
      <c r="H47" s="30">
        <v>2</v>
      </c>
      <c r="I47" s="32" t="e">
        <f t="shared" ca="1" si="7"/>
        <v>#VALUE!</v>
      </c>
      <c r="T47" s="52" t="s">
        <v>51</v>
      </c>
      <c r="U47" s="56">
        <v>42.94</v>
      </c>
      <c r="V47" s="52">
        <v>13.5</v>
      </c>
      <c r="W47" s="56">
        <f t="shared" si="1"/>
        <v>579.68999999999994</v>
      </c>
      <c r="X47" s="52">
        <v>22.4</v>
      </c>
      <c r="Y47" s="56">
        <f t="shared" si="0"/>
        <v>961.85599999999988</v>
      </c>
      <c r="Z47" s="52">
        <v>7.19</v>
      </c>
      <c r="AA47" s="56">
        <f t="shared" si="2"/>
        <v>308.73860000000002</v>
      </c>
      <c r="AB47" s="56">
        <f>IF(AND('D Actual'!O20&lt;TTHH!D57,'D Actual'!O20&lt;&gt;0),TTHH!H57,0)</f>
        <v>0</v>
      </c>
    </row>
    <row r="48" spans="6:28" x14ac:dyDescent="0.3">
      <c r="F48" s="29">
        <v>30</v>
      </c>
      <c r="G48" s="32" t="e">
        <f t="shared" ca="1" si="6"/>
        <v>#VALUE!</v>
      </c>
      <c r="H48" s="30">
        <v>4</v>
      </c>
      <c r="I48" s="32" t="e">
        <f t="shared" ca="1" si="7"/>
        <v>#VALUE!</v>
      </c>
      <c r="T48" s="52" t="s">
        <v>52</v>
      </c>
      <c r="U48" s="56">
        <v>0</v>
      </c>
      <c r="V48" s="52">
        <v>13.5</v>
      </c>
      <c r="W48" s="56">
        <f t="shared" si="1"/>
        <v>0</v>
      </c>
      <c r="X48" s="52">
        <v>20.8</v>
      </c>
      <c r="Y48" s="56">
        <f t="shared" si="0"/>
        <v>0</v>
      </c>
      <c r="Z48" s="52">
        <v>7.19</v>
      </c>
      <c r="AA48" s="56">
        <f t="shared" si="2"/>
        <v>0</v>
      </c>
      <c r="AB48" s="56">
        <f>IF(AND('D Actual'!O21&lt;TTHH!D58,'D Actual'!O21&lt;&gt;0),TTHH!H58,0)</f>
        <v>0</v>
      </c>
    </row>
    <row r="49" spans="6:28" x14ac:dyDescent="0.3">
      <c r="F49" s="29">
        <v>40</v>
      </c>
      <c r="G49" s="32" t="e">
        <f t="shared" ca="1" si="6"/>
        <v>#VALUE!</v>
      </c>
      <c r="H49" s="30">
        <v>1</v>
      </c>
      <c r="I49" s="32" t="e">
        <f t="shared" ca="1" si="7"/>
        <v>#VALUE!</v>
      </c>
      <c r="T49" s="52" t="s">
        <v>53</v>
      </c>
      <c r="U49" s="56">
        <v>42.94</v>
      </c>
      <c r="V49" s="52">
        <v>13.5</v>
      </c>
      <c r="W49" s="56">
        <f t="shared" si="1"/>
        <v>579.68999999999994</v>
      </c>
      <c r="X49" s="52">
        <v>24</v>
      </c>
      <c r="Y49" s="56">
        <f t="shared" si="0"/>
        <v>1030.56</v>
      </c>
      <c r="Z49" s="52">
        <v>7.19</v>
      </c>
      <c r="AA49" s="56">
        <f t="shared" si="2"/>
        <v>308.73860000000002</v>
      </c>
      <c r="AB49" s="56">
        <f>IF(AND('D Actual'!O22&lt;TTHH!D59,'D Actual'!O22&lt;&gt;0),TTHH!H59,0)</f>
        <v>0</v>
      </c>
    </row>
    <row r="50" spans="6:28" x14ac:dyDescent="0.3">
      <c r="F50" s="29">
        <v>50</v>
      </c>
      <c r="G50" s="32" t="e">
        <f t="shared" ca="1" si="6"/>
        <v>#VALUE!</v>
      </c>
      <c r="H50" s="30">
        <v>1</v>
      </c>
      <c r="I50" s="32" t="e">
        <f t="shared" ca="1" si="7"/>
        <v>#VALUE!</v>
      </c>
      <c r="T50" s="52" t="s">
        <v>54</v>
      </c>
      <c r="U50" s="56">
        <v>8.5879999999999992</v>
      </c>
      <c r="V50" s="52">
        <v>13.5</v>
      </c>
      <c r="W50" s="56">
        <f t="shared" si="1"/>
        <v>115.93799999999999</v>
      </c>
      <c r="X50" s="52">
        <v>19.2</v>
      </c>
      <c r="Y50" s="56">
        <f t="shared" si="0"/>
        <v>164.88959999999997</v>
      </c>
      <c r="Z50" s="52">
        <v>7.19</v>
      </c>
      <c r="AA50" s="56">
        <f t="shared" si="2"/>
        <v>61.747720000000001</v>
      </c>
      <c r="AB50" s="56">
        <f>IF(AND('D Actual'!O23&lt;TTHH!D60,'D Actual'!O23&lt;&gt;0),TTHH!H60,0)</f>
        <v>4</v>
      </c>
    </row>
    <row r="51" spans="6:28" x14ac:dyDescent="0.3">
      <c r="F51" s="29">
        <v>60</v>
      </c>
      <c r="G51" s="32" t="e">
        <f t="shared" ca="1" si="6"/>
        <v>#VALUE!</v>
      </c>
      <c r="H51" s="30">
        <v>4</v>
      </c>
      <c r="I51" s="32" t="e">
        <f t="shared" ca="1" si="7"/>
        <v>#VALUE!</v>
      </c>
      <c r="T51" s="52" t="s">
        <v>55</v>
      </c>
      <c r="U51" s="56">
        <v>4.3890000000000002</v>
      </c>
      <c r="V51" s="52">
        <v>1.31</v>
      </c>
      <c r="W51" s="56">
        <f t="shared" si="1"/>
        <v>5.7495900000000004</v>
      </c>
      <c r="X51" s="52">
        <v>22.69</v>
      </c>
      <c r="Y51" s="56">
        <f t="shared" si="0"/>
        <v>99.586410000000015</v>
      </c>
      <c r="Z51" s="52">
        <v>3.19</v>
      </c>
      <c r="AA51" s="56">
        <f t="shared" si="2"/>
        <v>14.000910000000001</v>
      </c>
      <c r="AB51" s="56">
        <f>IF(AND('D Actual'!O24&lt;TTHH!D61,'D Actual'!O24&lt;&gt;0),TTHH!H61,0)</f>
        <v>27</v>
      </c>
    </row>
    <row r="52" spans="6:28" x14ac:dyDescent="0.3">
      <c r="F52" s="29">
        <v>75</v>
      </c>
      <c r="G52" s="32" t="e">
        <f t="shared" ca="1" si="6"/>
        <v>#VALUE!</v>
      </c>
      <c r="H52" s="30">
        <v>1</v>
      </c>
      <c r="I52" s="32" t="e">
        <f t="shared" ca="1" si="7"/>
        <v>#VALUE!</v>
      </c>
      <c r="T52" s="54" t="s">
        <v>57</v>
      </c>
      <c r="U52" s="38"/>
      <c r="V52" s="38"/>
      <c r="W52" s="38"/>
      <c r="X52" s="38"/>
      <c r="Y52" s="38"/>
      <c r="Z52" s="38"/>
      <c r="AA52" s="38"/>
      <c r="AB52" s="38"/>
    </row>
    <row r="53" spans="6:28" x14ac:dyDescent="0.3">
      <c r="T53" s="52" t="s">
        <v>58</v>
      </c>
      <c r="U53" s="56" cm="1">
        <f t="array" ref="U53:U56">'D Actual'!N28:N31</f>
        <v>0</v>
      </c>
      <c r="V53" s="52" cm="1">
        <f t="array" ref="V53:V56">Tabla19[[#All],[Columna5]]</f>
        <v>15.65</v>
      </c>
      <c r="W53" s="56">
        <f t="shared" si="1"/>
        <v>0</v>
      </c>
      <c r="X53" s="52" cm="1">
        <f t="array" ref="X53:X56">Tabla19[[#All],[Columna3]]</f>
        <v>14.2</v>
      </c>
      <c r="Y53" s="56">
        <f t="shared" si="0"/>
        <v>0</v>
      </c>
      <c r="Z53" s="52" cm="1">
        <f t="array" ref="Z53:Z56">Tabla19[[#All],[Columna4]]</f>
        <v>11.76</v>
      </c>
      <c r="AA53" s="56">
        <f t="shared" si="2"/>
        <v>0</v>
      </c>
      <c r="AB53" s="56">
        <f>IF(AND('D Actual'!O28&lt;TTHH!D69,'D Actual'!O28&lt;&gt;0),TTHH!H69,0)</f>
        <v>0</v>
      </c>
    </row>
    <row r="54" spans="6:28" x14ac:dyDescent="0.3">
      <c r="F54" s="29" t="s">
        <v>554</v>
      </c>
      <c r="G54" s="32" t="e">
        <f ca="1">(0.0872664626/3)*SUM(I43:I48)</f>
        <v>#VALUE!</v>
      </c>
      <c r="T54" s="52" t="s">
        <v>59</v>
      </c>
      <c r="U54" s="56">
        <v>15.367999999999999</v>
      </c>
      <c r="V54" s="52">
        <v>15.75</v>
      </c>
      <c r="W54" s="56">
        <f t="shared" si="1"/>
        <v>242.04599999999996</v>
      </c>
      <c r="X54" s="52">
        <v>15.2</v>
      </c>
      <c r="Y54" s="56">
        <f t="shared" si="0"/>
        <v>233.59359999999998</v>
      </c>
      <c r="Z54" s="52">
        <v>7.19</v>
      </c>
      <c r="AA54" s="56">
        <f t="shared" si="2"/>
        <v>110.49592</v>
      </c>
      <c r="AB54" s="56">
        <f>IF(AND('D Actual'!O29&lt;TTHH!D70,'D Actual'!O29&lt;&gt;0),TTHH!H70,0)</f>
        <v>4</v>
      </c>
    </row>
    <row r="55" spans="6:28" x14ac:dyDescent="0.3">
      <c r="F55" s="29" t="s">
        <v>555</v>
      </c>
      <c r="G55" s="32" t="e">
        <f ca="1">(0.0872664626/3)*SUM(I48:I49)</f>
        <v>#VALUE!</v>
      </c>
      <c r="T55" s="52" t="s">
        <v>60</v>
      </c>
      <c r="U55" s="56">
        <v>0</v>
      </c>
      <c r="V55" s="52">
        <v>15.75</v>
      </c>
      <c r="W55" s="56">
        <f t="shared" si="1"/>
        <v>0</v>
      </c>
      <c r="X55" s="52">
        <v>12</v>
      </c>
      <c r="Y55" s="56">
        <f t="shared" si="0"/>
        <v>0</v>
      </c>
      <c r="Z55" s="52">
        <v>7.19</v>
      </c>
      <c r="AA55" s="56">
        <f t="shared" si="2"/>
        <v>0</v>
      </c>
      <c r="AB55" s="56">
        <f>IF(AND('D Actual'!O30&lt;TTHH!D71,'D Actual'!O30&lt;&gt;0),TTHH!H71,0)</f>
        <v>0</v>
      </c>
    </row>
    <row r="56" spans="6:28" x14ac:dyDescent="0.3">
      <c r="F56" s="29" t="s">
        <v>556</v>
      </c>
      <c r="G56" s="32" t="e">
        <f ca="1">(0.0872664626/3)*SUM(I43:I49)</f>
        <v>#VALUE!</v>
      </c>
      <c r="T56" s="52" t="s">
        <v>61</v>
      </c>
      <c r="U56" s="56">
        <v>3.4578000000000002</v>
      </c>
      <c r="V56" s="52">
        <v>15.75</v>
      </c>
      <c r="W56" s="56">
        <f t="shared" si="1"/>
        <v>54.460350000000005</v>
      </c>
      <c r="X56" s="52">
        <v>13.6</v>
      </c>
      <c r="Y56" s="56">
        <f t="shared" si="0"/>
        <v>47.02608</v>
      </c>
      <c r="Z56" s="52">
        <v>7.19</v>
      </c>
      <c r="AA56" s="56">
        <f t="shared" si="2"/>
        <v>24.861582000000002</v>
      </c>
      <c r="AB56" s="56">
        <f>IF(AND('D Actual'!O31&lt;TTHH!D72,'D Actual'!O31&lt;&gt;0),TTHH!H72,0)</f>
        <v>4</v>
      </c>
    </row>
    <row r="57" spans="6:28" x14ac:dyDescent="0.3">
      <c r="T57" s="54" t="s">
        <v>63</v>
      </c>
      <c r="U57" s="38"/>
      <c r="V57" s="38"/>
      <c r="W57" s="38"/>
      <c r="X57" s="38"/>
      <c r="Y57" s="38"/>
      <c r="Z57" s="38"/>
      <c r="AA57" s="38"/>
      <c r="AB57" s="38"/>
    </row>
    <row r="58" spans="6:28" x14ac:dyDescent="0.3">
      <c r="T58" s="52" t="s">
        <v>65</v>
      </c>
      <c r="U58" s="56" cm="1">
        <f t="array" ref="U58:U67">'D Actual'!AJ8:AJ17</f>
        <v>0</v>
      </c>
      <c r="V58" s="52" cm="1">
        <f t="array" ref="V58:V67">Tabla20[[#All],[Columna5]]</f>
        <v>11.77</v>
      </c>
      <c r="W58" s="56">
        <f t="shared" si="1"/>
        <v>0</v>
      </c>
      <c r="X58" s="52" cm="1">
        <f t="array" ref="X58:X67">Tabla20[[#All],[Columna3]]</f>
        <v>6.81</v>
      </c>
      <c r="Y58" s="56">
        <f t="shared" si="0"/>
        <v>0</v>
      </c>
      <c r="Z58" s="52" cm="1">
        <f t="array" ref="Z58:Z67">Tabla20[[#All],[Columna4]]</f>
        <v>8.43</v>
      </c>
      <c r="AA58" s="56">
        <f t="shared" si="2"/>
        <v>0</v>
      </c>
      <c r="AB58" s="56">
        <f>IF(AND('D Actual'!AK8&lt;TTHH!D80,'D Actual'!AK8&lt;&gt;0),TTHH!H80,0)</f>
        <v>0</v>
      </c>
    </row>
    <row r="59" spans="6:28" x14ac:dyDescent="0.3">
      <c r="T59" s="52" t="s">
        <v>66</v>
      </c>
      <c r="U59" s="56">
        <v>16.829999999999998</v>
      </c>
      <c r="V59" s="52">
        <v>11.69</v>
      </c>
      <c r="W59" s="56">
        <f t="shared" si="1"/>
        <v>196.74269999999999</v>
      </c>
      <c r="X59" s="52">
        <v>7.61</v>
      </c>
      <c r="Y59" s="56">
        <f t="shared" si="0"/>
        <v>128.0763</v>
      </c>
      <c r="Z59" s="52">
        <v>8.57</v>
      </c>
      <c r="AA59" s="56">
        <f t="shared" si="2"/>
        <v>144.23309999999998</v>
      </c>
      <c r="AB59" s="56">
        <f>IF(AND('D Actual'!AK9&lt;TTHH!D81,'D Actual'!AK9&lt;&gt;0),TTHH!H81,0)</f>
        <v>0</v>
      </c>
    </row>
    <row r="60" spans="6:28" x14ac:dyDescent="0.3">
      <c r="T60" s="52" t="s">
        <v>67</v>
      </c>
      <c r="U60" s="56">
        <v>12.726000000000001</v>
      </c>
      <c r="V60" s="52">
        <v>11.63</v>
      </c>
      <c r="W60" s="56">
        <f t="shared" si="1"/>
        <v>148.00338000000002</v>
      </c>
      <c r="X60" s="52">
        <v>8.4</v>
      </c>
      <c r="Y60" s="56">
        <f t="shared" si="0"/>
        <v>106.89840000000001</v>
      </c>
      <c r="Z60" s="52">
        <v>8.7200000000000006</v>
      </c>
      <c r="AA60" s="56">
        <f t="shared" si="2"/>
        <v>110.97072000000001</v>
      </c>
      <c r="AB60" s="56">
        <f>IF(AND('D Actual'!AK10&lt;TTHH!D82,'D Actual'!AK10&lt;&gt;0),TTHH!H82,0)</f>
        <v>36</v>
      </c>
    </row>
    <row r="61" spans="6:28" x14ac:dyDescent="0.3">
      <c r="T61" s="52" t="s">
        <v>68</v>
      </c>
      <c r="U61" s="56">
        <v>23.976000000000003</v>
      </c>
      <c r="V61" s="52">
        <v>11.56</v>
      </c>
      <c r="W61" s="56">
        <f t="shared" si="1"/>
        <v>277.16256000000004</v>
      </c>
      <c r="X61" s="52">
        <v>9.6199999999999992</v>
      </c>
      <c r="Y61" s="56">
        <f t="shared" si="0"/>
        <v>230.64912000000001</v>
      </c>
      <c r="Z61" s="52">
        <v>8.94</v>
      </c>
      <c r="AA61" s="56">
        <f t="shared" si="2"/>
        <v>214.34544000000002</v>
      </c>
      <c r="AB61" s="56">
        <f>IF(AND('D Actual'!AK11&lt;TTHH!D83,'D Actual'!AK11&lt;&gt;0),TTHH!H83,0)</f>
        <v>81</v>
      </c>
    </row>
    <row r="62" spans="6:28" x14ac:dyDescent="0.3">
      <c r="T62" s="52" t="s">
        <v>69</v>
      </c>
      <c r="U62" s="56">
        <v>0</v>
      </c>
      <c r="V62" s="52">
        <v>1.31</v>
      </c>
      <c r="W62" s="56">
        <f t="shared" si="1"/>
        <v>0</v>
      </c>
      <c r="X62" s="52">
        <v>18</v>
      </c>
      <c r="Y62" s="56">
        <f t="shared" ref="Y62:Y78" si="8">U62*X62</f>
        <v>0</v>
      </c>
      <c r="Z62" s="52">
        <v>0</v>
      </c>
      <c r="AA62" s="56">
        <f t="shared" si="2"/>
        <v>0</v>
      </c>
      <c r="AB62" s="56">
        <f>IF(AND('D Actual'!AK12&lt;TTHH!D84,'D Actual'!AK12&lt;&gt;0),TTHH!H84,0)</f>
        <v>0</v>
      </c>
    </row>
    <row r="63" spans="6:28" x14ac:dyDescent="0.3">
      <c r="T63" s="52" t="s">
        <v>70</v>
      </c>
      <c r="U63" s="56">
        <v>0</v>
      </c>
      <c r="V63" s="52">
        <v>15.65</v>
      </c>
      <c r="W63" s="56">
        <f t="shared" si="1"/>
        <v>0</v>
      </c>
      <c r="X63" s="52">
        <v>2</v>
      </c>
      <c r="Y63" s="56">
        <f t="shared" si="8"/>
        <v>0</v>
      </c>
      <c r="Z63" s="52">
        <v>3.2</v>
      </c>
      <c r="AA63" s="56">
        <f t="shared" si="2"/>
        <v>0</v>
      </c>
      <c r="AB63" s="56">
        <f>IF(AND('D Actual'!AK13&lt;TTHH!D85,'D Actual'!AK13&lt;&gt;0),TTHH!H85,0)</f>
        <v>0</v>
      </c>
    </row>
    <row r="64" spans="6:28" x14ac:dyDescent="0.3">
      <c r="T64" s="52" t="s">
        <v>71</v>
      </c>
      <c r="U64" s="56">
        <v>0</v>
      </c>
      <c r="V64" s="52">
        <v>15.65</v>
      </c>
      <c r="W64" s="56">
        <f t="shared" si="1"/>
        <v>0</v>
      </c>
      <c r="X64" s="52">
        <v>2</v>
      </c>
      <c r="Y64" s="56">
        <f t="shared" si="8"/>
        <v>0</v>
      </c>
      <c r="Z64" s="52">
        <v>4.8</v>
      </c>
      <c r="AA64" s="56">
        <f t="shared" si="2"/>
        <v>0</v>
      </c>
      <c r="AB64" s="56">
        <f>IF(AND('D Actual'!AK14&lt;TTHH!D86,'D Actual'!AK14&lt;&gt;0),TTHH!H86,0)</f>
        <v>0</v>
      </c>
    </row>
    <row r="65" spans="20:28" x14ac:dyDescent="0.3">
      <c r="T65" s="52" t="s">
        <v>72</v>
      </c>
      <c r="U65" s="56">
        <v>0.72000000000000008</v>
      </c>
      <c r="V65" s="52">
        <v>14.8</v>
      </c>
      <c r="W65" s="56">
        <f t="shared" si="1"/>
        <v>10.656000000000002</v>
      </c>
      <c r="X65" s="52">
        <v>1.2</v>
      </c>
      <c r="Y65" s="56">
        <f t="shared" si="8"/>
        <v>0.8640000000000001</v>
      </c>
      <c r="Z65" s="52">
        <v>-2.9</v>
      </c>
      <c r="AA65" s="56">
        <f t="shared" si="2"/>
        <v>-2.0880000000000001</v>
      </c>
      <c r="AB65" s="56">
        <f>IF(AND('D Actual'!AK15&lt;TTHH!D87,'D Actual'!AK15&lt;&gt;0),TTHH!H87,0)</f>
        <v>0</v>
      </c>
    </row>
    <row r="66" spans="20:28" x14ac:dyDescent="0.3">
      <c r="T66" s="52" t="s">
        <v>73</v>
      </c>
      <c r="U66" s="56">
        <v>0.72000000000000008</v>
      </c>
      <c r="V66" s="52">
        <v>14.5</v>
      </c>
      <c r="W66" s="56">
        <f t="shared" si="1"/>
        <v>10.440000000000001</v>
      </c>
      <c r="X66" s="52">
        <v>26.2</v>
      </c>
      <c r="Y66" s="56">
        <f t="shared" si="8"/>
        <v>18.864000000000001</v>
      </c>
      <c r="Z66" s="52">
        <v>-2.8</v>
      </c>
      <c r="AA66" s="56">
        <f t="shared" si="2"/>
        <v>-2.016</v>
      </c>
      <c r="AB66" s="56">
        <f>IF(AND('D Actual'!AK16&lt;TTHH!D88,'D Actual'!AK16&lt;&gt;0),TTHH!H88,0)</f>
        <v>0</v>
      </c>
    </row>
    <row r="67" spans="20:28" x14ac:dyDescent="0.3">
      <c r="T67" s="52" t="s">
        <v>74</v>
      </c>
      <c r="U67" s="56">
        <v>0.72000000000000008</v>
      </c>
      <c r="V67" s="52">
        <v>14.5</v>
      </c>
      <c r="W67" s="56">
        <f t="shared" si="1"/>
        <v>10.440000000000001</v>
      </c>
      <c r="X67" s="52">
        <v>26.2</v>
      </c>
      <c r="Y67" s="56">
        <f t="shared" si="8"/>
        <v>18.864000000000001</v>
      </c>
      <c r="Z67" s="52">
        <v>-3.6</v>
      </c>
      <c r="AA67" s="56">
        <f t="shared" si="2"/>
        <v>-2.5920000000000005</v>
      </c>
      <c r="AB67" s="56">
        <f>IF(AND('D Actual'!AK17&lt;TTHH!D89,'D Actual'!AK17&lt;&gt;0),TTHH!H89,0)</f>
        <v>0</v>
      </c>
    </row>
    <row r="68" spans="20:28" x14ac:dyDescent="0.3">
      <c r="T68" s="54" t="s">
        <v>75</v>
      </c>
      <c r="U68" s="38"/>
      <c r="V68" s="38"/>
      <c r="W68" s="38"/>
      <c r="X68" s="38"/>
      <c r="Y68" s="38"/>
      <c r="Z68" s="38"/>
      <c r="AA68" s="38"/>
      <c r="AB68" s="38"/>
    </row>
    <row r="69" spans="20:28" x14ac:dyDescent="0.3">
      <c r="T69" s="52" t="s">
        <v>76</v>
      </c>
      <c r="U69" s="56" cm="1">
        <f t="array" ref="U69:U70">'D Actual'!AJ20:AJ21</f>
        <v>71.7</v>
      </c>
      <c r="V69" s="52" cm="1">
        <f t="array" ref="V69:V70">TTHH!G97:G98</f>
        <v>15.85</v>
      </c>
      <c r="W69" s="56">
        <f t="shared" si="1"/>
        <v>1136.4449999999999</v>
      </c>
      <c r="X69" s="52" cm="1">
        <f t="array" ref="X69:X70">TTHH!E97:E98</f>
        <v>-0.81</v>
      </c>
      <c r="Y69" s="56">
        <f t="shared" si="8"/>
        <v>-58.077000000000005</v>
      </c>
      <c r="Z69" s="52" cm="1">
        <f t="array" ref="Z69:Z70">TTHH!F97:F98</f>
        <v>-8.2200000000000006</v>
      </c>
      <c r="AA69" s="56">
        <f t="shared" si="2"/>
        <v>-589.37400000000002</v>
      </c>
      <c r="AB69" s="56">
        <f>IF(AND('D Actual'!AK20&lt;TTHH!D97,'D Actual'!AK20&lt;&gt;0),TTHH!H97,0)</f>
        <v>87</v>
      </c>
    </row>
    <row r="70" spans="20:28" x14ac:dyDescent="0.3">
      <c r="T70" s="52" t="s">
        <v>77</v>
      </c>
      <c r="U70" s="56">
        <v>0</v>
      </c>
      <c r="V70" s="52">
        <v>15.85</v>
      </c>
      <c r="W70" s="56">
        <f t="shared" si="1"/>
        <v>0</v>
      </c>
      <c r="X70" s="52">
        <v>-0.81</v>
      </c>
      <c r="Y70" s="56">
        <f t="shared" si="8"/>
        <v>0</v>
      </c>
      <c r="Z70" s="52">
        <v>8.2200000000000006</v>
      </c>
      <c r="AA70" s="56">
        <f t="shared" si="2"/>
        <v>0</v>
      </c>
      <c r="AB70" s="56">
        <f>IF(AND('D Actual'!AK21&lt;TTHH!D98,'D Actual'!AK21&lt;&gt;0),TTHH!H98,0)</f>
        <v>0</v>
      </c>
    </row>
    <row r="71" spans="20:28" x14ac:dyDescent="0.3">
      <c r="T71" s="54" t="s">
        <v>79</v>
      </c>
      <c r="U71" s="38"/>
      <c r="V71" s="38"/>
      <c r="W71" s="38"/>
      <c r="X71" s="38"/>
      <c r="Y71" s="38"/>
      <c r="Z71" s="38"/>
      <c r="AA71" s="38"/>
      <c r="AB71" s="38"/>
    </row>
    <row r="72" spans="20:28" x14ac:dyDescent="0.3">
      <c r="T72" s="52" t="s">
        <v>80</v>
      </c>
      <c r="U72" s="56" cm="1">
        <f t="array" ref="U72:U74">'D Actual'!AJ24:AJ26</f>
        <v>0.88200000000000001</v>
      </c>
      <c r="V72" s="52" cm="1">
        <f t="array" ref="V72:V74">TTHH!G106:G108</f>
        <v>1.5</v>
      </c>
      <c r="W72" s="56">
        <f t="shared" si="1"/>
        <v>1.323</v>
      </c>
      <c r="X72" s="52" cm="1">
        <f t="array" ref="X72:X74">TTHH!E106:E108</f>
        <v>16.23</v>
      </c>
      <c r="Y72" s="56">
        <f t="shared" si="8"/>
        <v>14.314860000000001</v>
      </c>
      <c r="Z72" s="52" cm="1">
        <f t="array" ref="Z72:Z74">TTHH!F106:F108</f>
        <v>-2.4500000000000002</v>
      </c>
      <c r="AA72" s="56">
        <f t="shared" si="2"/>
        <v>-2.1609000000000003</v>
      </c>
      <c r="AB72" s="56">
        <f>IF(AND('D Actual'!AK24&lt;TTHH!D106,'D Actual'!AK24&lt;&gt;0),TTHH!H106,0)</f>
        <v>1</v>
      </c>
    </row>
    <row r="73" spans="20:28" x14ac:dyDescent="0.3">
      <c r="T73" s="52" t="s">
        <v>81</v>
      </c>
      <c r="U73" s="56">
        <v>2.4569999999999999</v>
      </c>
      <c r="V73" s="52">
        <v>1.46</v>
      </c>
      <c r="W73" s="56">
        <f t="shared" si="1"/>
        <v>3.5872199999999999</v>
      </c>
      <c r="X73" s="52">
        <v>17.25</v>
      </c>
      <c r="Y73" s="56">
        <f t="shared" si="8"/>
        <v>42.383249999999997</v>
      </c>
      <c r="Z73" s="52">
        <v>2.56</v>
      </c>
      <c r="AA73" s="56">
        <f t="shared" si="2"/>
        <v>6.2899199999999995</v>
      </c>
      <c r="AB73" s="56">
        <f>IF(AND('D Actual'!AK25&lt;TTHH!D107,'D Actual'!AK25&lt;&gt;0),TTHH!H107,0)</f>
        <v>2</v>
      </c>
    </row>
    <row r="74" spans="20:28" x14ac:dyDescent="0.3">
      <c r="T74" s="52" t="s">
        <v>82</v>
      </c>
      <c r="U74" s="56">
        <v>1.0935000000000001</v>
      </c>
      <c r="V74" s="52">
        <v>1.58</v>
      </c>
      <c r="W74" s="56">
        <f>U74*V74</f>
        <v>1.7277300000000002</v>
      </c>
      <c r="X74" s="52">
        <v>8.89</v>
      </c>
      <c r="Y74" s="56">
        <f>U74*X74</f>
        <v>9.7212150000000026</v>
      </c>
      <c r="Z74" s="52">
        <v>0</v>
      </c>
      <c r="AA74" s="56">
        <f>U74*Z74</f>
        <v>0</v>
      </c>
      <c r="AB74" s="56">
        <f>IF(AND('D Actual'!AK26&lt;TTHH!D108,'D Actual'!AK26&lt;&gt;0),TTHH!H108,0)</f>
        <v>3</v>
      </c>
    </row>
    <row r="75" spans="20:28" x14ac:dyDescent="0.3">
      <c r="T75" s="54" t="s">
        <v>84</v>
      </c>
      <c r="U75" s="38"/>
      <c r="V75" s="38"/>
      <c r="W75" s="38"/>
      <c r="X75" s="38"/>
      <c r="Y75" s="38"/>
      <c r="Z75" s="38"/>
      <c r="AA75" s="38"/>
      <c r="AB75" s="38"/>
    </row>
    <row r="76" spans="20:28" x14ac:dyDescent="0.3">
      <c r="T76" s="52" t="s">
        <v>85</v>
      </c>
      <c r="U76" s="56" cm="1">
        <f t="array" ref="U76:U80">'D Actual'!AJ29:AJ33</f>
        <v>0</v>
      </c>
      <c r="V76" s="52" cm="1">
        <f t="array" ref="V76:V80">Tabla21[[#All],[Columna5]]</f>
        <v>3.23</v>
      </c>
      <c r="W76" s="56">
        <f t="shared" si="1"/>
        <v>0</v>
      </c>
      <c r="X76" s="52" cm="1">
        <f t="array" ref="X76:X80">Tabla21[[#All],[Columna3]]</f>
        <v>7.26</v>
      </c>
      <c r="Y76" s="56">
        <f t="shared" si="8"/>
        <v>0</v>
      </c>
      <c r="Z76" s="52" cm="1">
        <f t="array" ref="Z76:Z80">Tabla21[[#All],[Columna4]]</f>
        <v>0</v>
      </c>
      <c r="AA76" s="56">
        <f t="shared" si="2"/>
        <v>0</v>
      </c>
      <c r="AB76" s="56">
        <f>IF(AND('D Actual'!AK29&lt;TTHH!D116,'D Actual'!AK29&lt;&gt;0),TTHH!H116,0)</f>
        <v>0</v>
      </c>
    </row>
    <row r="77" spans="20:28" x14ac:dyDescent="0.3">
      <c r="T77" s="52" t="s">
        <v>86</v>
      </c>
      <c r="U77" s="56">
        <v>0</v>
      </c>
      <c r="V77" s="52">
        <v>11.61</v>
      </c>
      <c r="W77" s="56">
        <f t="shared" si="1"/>
        <v>0</v>
      </c>
      <c r="X77" s="52">
        <v>8.9600000000000009</v>
      </c>
      <c r="Y77" s="56">
        <f t="shared" si="8"/>
        <v>0</v>
      </c>
      <c r="Z77" s="52">
        <v>8.82</v>
      </c>
      <c r="AA77" s="56">
        <f t="shared" si="2"/>
        <v>0</v>
      </c>
      <c r="AB77" s="56">
        <f>IF(AND('D Actual'!AK30&lt;TTHH!D117,'D Actual'!AK30&lt;&gt;0),TTHH!H117,0)</f>
        <v>0</v>
      </c>
    </row>
    <row r="78" spans="20:28" x14ac:dyDescent="0.3">
      <c r="T78" s="52" t="s">
        <v>87</v>
      </c>
      <c r="U78" s="56">
        <v>4.55</v>
      </c>
      <c r="V78" s="52">
        <v>1.27</v>
      </c>
      <c r="W78" s="56">
        <f t="shared" si="1"/>
        <v>5.7785000000000002</v>
      </c>
      <c r="X78" s="52">
        <v>23.4</v>
      </c>
      <c r="Y78" s="56">
        <f t="shared" si="8"/>
        <v>106.46999999999998</v>
      </c>
      <c r="Z78" s="52">
        <v>3.18</v>
      </c>
      <c r="AA78" s="56">
        <f t="shared" si="2"/>
        <v>14.468999999999999</v>
      </c>
      <c r="AB78" s="56">
        <f>IF(AND('D Actual'!AK31&lt;TTHH!D118,'D Actual'!AK31&lt;&gt;0),TTHH!H118,0)</f>
        <v>21</v>
      </c>
    </row>
    <row r="79" spans="20:28" x14ac:dyDescent="0.3">
      <c r="T79" s="52" t="s">
        <v>88</v>
      </c>
      <c r="U79" s="56">
        <v>0</v>
      </c>
      <c r="V79" s="52">
        <v>1.34</v>
      </c>
      <c r="W79" s="56">
        <f t="shared" si="1"/>
        <v>0</v>
      </c>
      <c r="X79" s="52">
        <v>11.95</v>
      </c>
      <c r="Y79" s="56">
        <f>U79*X79</f>
        <v>0</v>
      </c>
      <c r="Z79" s="52">
        <v>-0.18</v>
      </c>
      <c r="AA79" s="56">
        <f t="shared" si="2"/>
        <v>0</v>
      </c>
      <c r="AB79" s="56">
        <f>IF(AND('D Actual'!AK32&lt;TTHH!D119,'D Actual'!AK32&lt;&gt;0),TTHH!H119,0)</f>
        <v>0</v>
      </c>
    </row>
    <row r="80" spans="20:28" x14ac:dyDescent="0.3">
      <c r="T80" s="52" t="s">
        <v>89</v>
      </c>
      <c r="U80" s="56">
        <v>0.124</v>
      </c>
      <c r="V80" s="52">
        <v>1.28</v>
      </c>
      <c r="W80" s="56">
        <f>U80*V80</f>
        <v>0.15872</v>
      </c>
      <c r="X80" s="52">
        <v>13.21</v>
      </c>
      <c r="Y80" s="56">
        <f>U80*X80</f>
        <v>1.6380400000000002</v>
      </c>
      <c r="Z80" s="52">
        <v>1.03</v>
      </c>
      <c r="AA80" s="56">
        <f>U80*Z80</f>
        <v>0.12772</v>
      </c>
      <c r="AB80" s="56">
        <f>IF(AND('D Actual'!AK33&lt;TTHH!D120,'D Actual'!AK33&lt;&gt;0),TTHH!H120,0)</f>
        <v>1</v>
      </c>
    </row>
    <row r="81" spans="20:28" x14ac:dyDescent="0.3">
      <c r="T81" s="38"/>
      <c r="U81" s="38"/>
      <c r="V81" s="38"/>
      <c r="W81" s="38"/>
      <c r="X81" s="38"/>
      <c r="Y81" s="38"/>
      <c r="Z81" s="38"/>
      <c r="AA81" s="38"/>
      <c r="AB81" s="38"/>
    </row>
    <row r="82" spans="20:28" x14ac:dyDescent="0.3">
      <c r="T82" s="52" t="s">
        <v>385</v>
      </c>
      <c r="U82" s="52">
        <f>TTHH!K12</f>
        <v>11044.1</v>
      </c>
      <c r="V82" s="52">
        <f>TTHH!K14</f>
        <v>11.85</v>
      </c>
      <c r="W82" s="56">
        <f>U82*V82</f>
        <v>130872.58500000001</v>
      </c>
      <c r="X82" s="52">
        <f>TTHH!K13</f>
        <v>84.08</v>
      </c>
      <c r="Y82" s="56">
        <f>X82*U82</f>
        <v>928587.92799999996</v>
      </c>
      <c r="Z82" s="52">
        <v>0</v>
      </c>
      <c r="AA82" s="56">
        <f>U82*Z82</f>
        <v>0</v>
      </c>
      <c r="AB82" s="18"/>
    </row>
    <row r="83" spans="20:28" x14ac:dyDescent="0.3">
      <c r="T83" s="52" t="s">
        <v>461</v>
      </c>
      <c r="U83" s="56" cm="1">
        <f t="array" ref="U83:AA83">'D Actual'!AN19:AT19</f>
        <v>21</v>
      </c>
      <c r="V83" s="56">
        <v>16.428571428571427</v>
      </c>
      <c r="W83" s="56">
        <v>345</v>
      </c>
      <c r="X83" s="56">
        <v>65.714285714285708</v>
      </c>
      <c r="Y83" s="56">
        <v>1380</v>
      </c>
      <c r="Z83" s="56">
        <v>7.1428571428571432</v>
      </c>
      <c r="AA83" s="56">
        <v>150</v>
      </c>
      <c r="AB83" s="18"/>
    </row>
    <row r="84" spans="20:28" x14ac:dyDescent="0.3">
      <c r="T84" s="38"/>
      <c r="U84" s="52" t="s">
        <v>3</v>
      </c>
      <c r="V84" s="52" t="s">
        <v>17</v>
      </c>
      <c r="W84" s="52" t="s">
        <v>382</v>
      </c>
      <c r="X84" s="52" t="s">
        <v>15</v>
      </c>
      <c r="Y84" s="52" t="s">
        <v>383</v>
      </c>
      <c r="Z84" s="52" t="s">
        <v>16</v>
      </c>
      <c r="AA84" s="52" t="s">
        <v>384</v>
      </c>
      <c r="AB84" s="52" t="s">
        <v>4</v>
      </c>
    </row>
    <row r="85" spans="20:28" x14ac:dyDescent="0.3">
      <c r="T85" s="54" t="s">
        <v>386</v>
      </c>
      <c r="U85" s="56">
        <f>SUM(U11:U83)</f>
        <v>27736.147824999993</v>
      </c>
      <c r="V85" s="56">
        <f ca="1">IFERROR(W85/U85,0)</f>
        <v>8.5374793658643231</v>
      </c>
      <c r="W85" s="56">
        <f ca="1">SUM(W11:W83)</f>
        <v>236796.78974450007</v>
      </c>
      <c r="X85" s="56">
        <f ca="1">IFERROR(Y85/U85,0)</f>
        <v>98.362558710629102</v>
      </c>
      <c r="Y85" s="56">
        <f ca="1">SUM(Y11:Y83)</f>
        <v>2728198.4688432496</v>
      </c>
      <c r="Z85" s="56">
        <f>IFERROR(AA85/U85,0)</f>
        <v>3.1179788842937216E-3</v>
      </c>
      <c r="AA85" s="56">
        <f>SUM(AA11:AA83)</f>
        <v>86.480723249999215</v>
      </c>
      <c r="AB85" s="56">
        <f>SUM(AB17:AB83)</f>
        <v>952</v>
      </c>
    </row>
  </sheetData>
  <conditionalFormatting sqref="F54:G56">
    <cfRule type="expression" dxfId="180" priority="1">
      <formula>$O$10="Ocultar"</formula>
    </cfRule>
  </conditionalFormatting>
  <conditionalFormatting sqref="F42:I52">
    <cfRule type="expression" dxfId="179" priority="4">
      <formula>$O$10="Ocultar"</formula>
    </cfRule>
  </conditionalFormatting>
  <conditionalFormatting sqref="F36:P40">
    <cfRule type="expression" dxfId="178" priority="11">
      <formula>$O$10="Ocultar"</formula>
    </cfRule>
  </conditionalFormatting>
  <conditionalFormatting sqref="L12:M17">
    <cfRule type="expression" dxfId="177" priority="29">
      <formula>$O$10="Ocultar"</formula>
    </cfRule>
  </conditionalFormatting>
  <conditionalFormatting sqref="O12:P16">
    <cfRule type="expression" dxfId="176" priority="12">
      <formula>$O$10="Ocultar"</formula>
    </cfRule>
  </conditionalFormatting>
  <dataValidations count="1">
    <dataValidation type="list" allowBlank="1" showInputMessage="1" showErrorMessage="1" sqref="O10" xr:uid="{DEB5F837-CD25-4566-9356-C10F74E484F9}">
      <formula1>"Ver Cuentas, Ocultar"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5273-A591-45FF-A2D6-65F2C0220805}">
  <sheetPr>
    <tabColor rgb="FF223B82"/>
  </sheetPr>
  <dimension ref="E10:X24"/>
  <sheetViews>
    <sheetView topLeftCell="D1" workbookViewId="0"/>
    <sheetView workbookViewId="1"/>
  </sheetViews>
  <sheetFormatPr baseColWidth="10" defaultRowHeight="14.4" x14ac:dyDescent="0.3"/>
  <cols>
    <col min="1" max="16384" width="11.5546875" style="8"/>
  </cols>
  <sheetData>
    <row r="10" spans="5:23" x14ac:dyDescent="0.3">
      <c r="E10" s="54" t="s">
        <v>446</v>
      </c>
      <c r="L10" s="54" t="s">
        <v>450</v>
      </c>
      <c r="S10" s="54" t="s">
        <v>451</v>
      </c>
    </row>
    <row r="12" spans="5:23" x14ac:dyDescent="0.3">
      <c r="E12" s="54" t="str">
        <f>IF(F12=1.025,"SW",IF(F12=1,"FW","BW"))</f>
        <v>BW</v>
      </c>
      <c r="F12" s="52">
        <f>'D Máximos'!F10</f>
        <v>1.01</v>
      </c>
      <c r="G12" s="41"/>
      <c r="L12" s="54" t="str">
        <f>IF(M12=1.025,"SW",IF(M12=1,"FW","BW"))</f>
        <v>BW</v>
      </c>
      <c r="M12" s="52">
        <f>'D Máximos'!I11</f>
        <v>1.01</v>
      </c>
      <c r="S12" s="54" t="str">
        <f>IF(T12=1.025,"SW",IF(T12=1,"FW","BW"))</f>
        <v>SW</v>
      </c>
      <c r="T12" s="52">
        <f>'D Máximos'!Q11</f>
        <v>1.0249999999999999</v>
      </c>
    </row>
    <row r="13" spans="5:23" x14ac:dyDescent="0.3">
      <c r="E13" s="52" t="s">
        <v>452</v>
      </c>
      <c r="F13" s="56">
        <f ca="1">IFERROR((('D Máximos'!F14-'Condición Actual'!G13)*'D Máximos'!F9)/'D Máximos'!F16,0)</f>
        <v>102.02385362776747</v>
      </c>
      <c r="G13" s="52" t="str">
        <f ca="1">IF(F13&lt;0,"Aproante",IF(F13&gt;0,"Apopante",IF(F13=0,"Aguas Iguales","")))</f>
        <v>Apopante</v>
      </c>
      <c r="H13" s="32">
        <f ca="1">ABS(F13/100)</f>
        <v>1.0202385362776747</v>
      </c>
      <c r="L13" s="52" t="s">
        <v>452</v>
      </c>
      <c r="M13" s="56">
        <f ca="1">IFERROR((('D Máximos'!I17-'Condición Salida'!G13)*'Condición Salida'!G10)/'D Máximos'!I19,0)</f>
        <v>1.3370714725597601</v>
      </c>
      <c r="N13" s="52" t="str">
        <f ca="1">IF(M13&lt;0,"Aproante",IF(M13&gt;0,"Apopante",IF(M13=0,"Aguas Iguales","")))</f>
        <v>Apopante</v>
      </c>
      <c r="O13" s="32">
        <f ca="1">ABS(M13/100)</f>
        <v>1.3370714725597602E-2</v>
      </c>
      <c r="S13" s="52" t="s">
        <v>452</v>
      </c>
      <c r="T13" s="56">
        <f ca="1">IFERROR((('D Máximos'!Q17-'Condición Llegada'!G13)*'Condición Llegada'!G10)/'D Máximos'!Q19,0)</f>
        <v>-52.452684611087186</v>
      </c>
      <c r="U13" s="52" t="str">
        <f ca="1">IF(T13&lt;0,"Aproante",IF(T13&gt;0,"Apopante",IF(T13=0,"Aguas Iguales","")))</f>
        <v>Aproante</v>
      </c>
      <c r="V13" s="32">
        <f ca="1">ABS(T13/100)</f>
        <v>0.52452684611087186</v>
      </c>
    </row>
    <row r="14" spans="5:23" x14ac:dyDescent="0.3">
      <c r="E14" s="52" t="s">
        <v>106</v>
      </c>
      <c r="F14" s="56">
        <f ca="1">'D Máximos'!F13</f>
        <v>5.8938028618162353</v>
      </c>
      <c r="G14" s="52" t="str">
        <f ca="1">IF(F14&lt;11,"&lt;11",IF(F14&gt;11,"&gt;11",""))</f>
        <v>&lt;11</v>
      </c>
      <c r="H14" s="29" t="s">
        <v>459</v>
      </c>
      <c r="I14" s="32">
        <f ca="1">IF(G14="&lt;11",TTHH!S13,TTHH!T13)</f>
        <v>0.85</v>
      </c>
      <c r="L14" s="52" t="s">
        <v>106</v>
      </c>
      <c r="M14" s="56">
        <f ca="1">'D Máximos'!I16</f>
        <v>10.64963003149456</v>
      </c>
      <c r="N14" s="52" t="str">
        <f ca="1">IF(M14&lt;11,"&lt;11",IF(M14&gt;11,"&gt;11",""))</f>
        <v>&lt;11</v>
      </c>
      <c r="O14" s="29" t="s">
        <v>459</v>
      </c>
      <c r="P14" s="32">
        <f ca="1">IF(N14="&lt;11",TTHH!$S$13,TTHH!$T$13)</f>
        <v>0.85</v>
      </c>
      <c r="S14" s="52" t="s">
        <v>106</v>
      </c>
      <c r="T14" s="56">
        <f ca="1">'D Máximos'!Q16</f>
        <v>10.398877005347597</v>
      </c>
      <c r="U14" s="52"/>
      <c r="V14" s="29" t="s">
        <v>459</v>
      </c>
      <c r="W14" s="32">
        <f>IF(U14="&lt;11",TTHH!$S$13,TTHH!$T$13)</f>
        <v>0.85</v>
      </c>
    </row>
    <row r="15" spans="5:23" x14ac:dyDescent="0.3">
      <c r="H15" s="29" t="s">
        <v>460</v>
      </c>
      <c r="I15" s="32">
        <f ca="1">IF(G14="&lt;11",TTHH!S12,TTHH!T12)</f>
        <v>14.4</v>
      </c>
      <c r="O15" s="29" t="s">
        <v>460</v>
      </c>
      <c r="P15" s="32">
        <f ca="1">IF(N14="&lt;11",TTHH!$S$12,TTHH!$T$12)</f>
        <v>14.4</v>
      </c>
      <c r="V15" s="29" t="s">
        <v>460</v>
      </c>
      <c r="W15" s="32">
        <f>IF(U14="&lt;11",TTHH!$S$12,TTHH!$T$12)</f>
        <v>0.2</v>
      </c>
    </row>
    <row r="16" spans="5:23" x14ac:dyDescent="0.3">
      <c r="E16" s="52" t="s">
        <v>447</v>
      </c>
      <c r="F16" s="57" t="s">
        <v>453</v>
      </c>
      <c r="G16" s="4"/>
      <c r="H16" s="32">
        <f>G16/100</f>
        <v>0</v>
      </c>
      <c r="L16" s="52" t="s">
        <v>447</v>
      </c>
      <c r="M16" s="57" t="s">
        <v>453</v>
      </c>
      <c r="N16" s="4"/>
      <c r="O16" s="32">
        <f>N16/100</f>
        <v>0</v>
      </c>
      <c r="S16" s="52" t="s">
        <v>447</v>
      </c>
      <c r="T16" s="57" t="s">
        <v>453</v>
      </c>
      <c r="U16" s="4"/>
      <c r="V16" s="32">
        <f>U16/100</f>
        <v>0</v>
      </c>
    </row>
    <row r="18" spans="5:24" x14ac:dyDescent="0.3">
      <c r="E18" s="52" t="s">
        <v>448</v>
      </c>
      <c r="F18" s="56">
        <f ca="1">'D Máximos'!F13+'Calados Act Sal Lleg'!F21</f>
        <v>5.4238282537437081</v>
      </c>
      <c r="G18" s="52" t="s">
        <v>449</v>
      </c>
      <c r="H18" s="56">
        <f ca="1">'D Máximos'!F13+'Calados Act Sal Lleg'!H21</f>
        <v>6.4440667900213828</v>
      </c>
      <c r="L18" s="52" t="s">
        <v>448</v>
      </c>
      <c r="M18" s="56">
        <f ca="1">'D Máximos'!I16+M21</f>
        <v>10.642905313881629</v>
      </c>
      <c r="N18" s="52" t="s">
        <v>449</v>
      </c>
      <c r="O18" s="56">
        <f ca="1">'D Máximos'!I16+'Calados Act Sal Lleg'!O21</f>
        <v>10.656276028607227</v>
      </c>
      <c r="S18" s="52" t="s">
        <v>448</v>
      </c>
      <c r="T18" s="56">
        <f ca="1">'D Máximos'!Q16+'Calados Act Sal Lleg'!T21</f>
        <v>10.911764013253929</v>
      </c>
      <c r="U18" s="52" t="s">
        <v>449</v>
      </c>
      <c r="V18" s="56">
        <f ca="1">'D Máximos'!Q16+'Calados Act Sal Lleg'!V21</f>
        <v>10.387237167143057</v>
      </c>
    </row>
    <row r="19" spans="5:24" x14ac:dyDescent="0.3">
      <c r="E19" s="52" t="s">
        <v>374</v>
      </c>
      <c r="F19" s="56">
        <f ca="1">F18+F23+F24+F22</f>
        <v>5.4505606016609578</v>
      </c>
      <c r="G19" s="52" t="s">
        <v>375</v>
      </c>
      <c r="H19" s="56">
        <f ca="1">H18+H23+H24+H22</f>
        <v>6.385895248835034</v>
      </c>
      <c r="I19" s="52" t="s">
        <v>376</v>
      </c>
      <c r="J19" s="56">
        <f ca="1">'D Máximos'!F13+'Calados Act Sal Lleg'!J22+'Calados Act Sal Lleg'!J24</f>
        <v>5.9158028618162355</v>
      </c>
      <c r="L19" s="52" t="s">
        <v>374</v>
      </c>
      <c r="M19" s="56">
        <f ca="1">M18+M22+M23+M24</f>
        <v>10.664967333567942</v>
      </c>
      <c r="N19" s="52" t="s">
        <v>375</v>
      </c>
      <c r="O19" s="56">
        <f ca="1">O18+O22+O23+O24</f>
        <v>10.677225342156758</v>
      </c>
      <c r="P19" s="52" t="s">
        <v>376</v>
      </c>
      <c r="Q19" s="56">
        <f ca="1">'D Máximos'!I16+'Calados Act Sal Lleg'!Q22+'Calados Act Sal Lleg'!Q24</f>
        <v>10.67163003149456</v>
      </c>
      <c r="S19" s="52" t="s">
        <v>374</v>
      </c>
      <c r="T19" s="56">
        <f ca="1">T18+T22+T23+T24</f>
        <v>10.931331010147822</v>
      </c>
      <c r="U19" s="52" t="s">
        <v>375</v>
      </c>
      <c r="V19" s="56">
        <f ca="1">V18+V22+V23+V24</f>
        <v>10.409809638462141</v>
      </c>
      <c r="W19" s="52" t="s">
        <v>376</v>
      </c>
      <c r="X19" s="56">
        <f ca="1">'D Máximos'!Q16+'Calados Act Sal Lleg'!X22+'Calados Act Sal Lleg'!X24</f>
        <v>10.420877005347597</v>
      </c>
    </row>
    <row r="21" spans="5:24" x14ac:dyDescent="0.3">
      <c r="E21" s="29" t="s">
        <v>454</v>
      </c>
      <c r="F21" s="32">
        <f ca="1">IF(G13="Apopante",(-1)*(H13-ABS(H21)),H13-ABS(H21))</f>
        <v>-0.46997460807252689</v>
      </c>
      <c r="G21" s="29" t="s">
        <v>457</v>
      </c>
      <c r="H21" s="32">
        <f ca="1">IF(G13="Aproante",((-1)*H13*'D Máximos'!F15)/TTHH!S14,(H13*'D Máximos'!F15)/TTHH!S14)</f>
        <v>0.5502639282051478</v>
      </c>
      <c r="L21" s="29" t="s">
        <v>454</v>
      </c>
      <c r="M21" s="32">
        <f ca="1">IF(N13="Apopante",(-1)*(O13-ABS(O21)),O13-ABS(O21))</f>
        <v>-6.7247176129314459E-3</v>
      </c>
      <c r="N21" s="29" t="s">
        <v>457</v>
      </c>
      <c r="O21" s="32">
        <f ca="1">IF(N13="Aproante",((-1)*O13*'D Máximos'!I18)/TTHH!Z14,(O13*'D Máximos'!I18)/TTHH!$S$14)</f>
        <v>6.6459971126661558E-3</v>
      </c>
      <c r="S21" s="29" t="s">
        <v>454</v>
      </c>
      <c r="T21" s="32">
        <f ca="1">IF(U13="Apopante",(-1)*(V13-ABS(V21)),V13-ABS(V21))</f>
        <v>0.51288700790633268</v>
      </c>
      <c r="U21" s="29" t="s">
        <v>457</v>
      </c>
      <c r="V21" s="32">
        <f ca="1">IF(U13="Aproante",((-1)*V13*'D Máximos'!Q18)/TTHH!AG14,(V13*'D Máximos'!Q18)/TTHH!$S$14)</f>
        <v>-1.1639838204539205E-2</v>
      </c>
    </row>
    <row r="22" spans="5:24" x14ac:dyDescent="0.3">
      <c r="E22" s="29" t="s">
        <v>109</v>
      </c>
      <c r="F22" s="42">
        <f>TTHH!S11</f>
        <v>2.1999999999999999E-2</v>
      </c>
      <c r="G22" s="29" t="s">
        <v>109</v>
      </c>
      <c r="H22" s="42">
        <f>TTHH!S11</f>
        <v>2.1999999999999999E-2</v>
      </c>
      <c r="I22" s="29" t="s">
        <v>109</v>
      </c>
      <c r="J22" s="42">
        <f>TTHH!S11</f>
        <v>2.1999999999999999E-2</v>
      </c>
      <c r="K22" s="57" t="s">
        <v>581</v>
      </c>
      <c r="L22" s="29" t="s">
        <v>109</v>
      </c>
      <c r="M22" s="42">
        <f>TTHH!S11</f>
        <v>2.1999999999999999E-2</v>
      </c>
      <c r="N22" s="29" t="s">
        <v>109</v>
      </c>
      <c r="O22" s="42">
        <f>TTHH!S11</f>
        <v>2.1999999999999999E-2</v>
      </c>
      <c r="P22" s="29" t="s">
        <v>109</v>
      </c>
      <c r="Q22" s="42">
        <f>TTHH!$S$11</f>
        <v>2.1999999999999999E-2</v>
      </c>
      <c r="S22" s="29" t="s">
        <v>109</v>
      </c>
      <c r="T22" s="42">
        <f>TTHH!$S$11</f>
        <v>2.1999999999999999E-2</v>
      </c>
      <c r="U22" s="29" t="s">
        <v>109</v>
      </c>
      <c r="V22" s="42">
        <f>TTHH!$S$11</f>
        <v>2.1999999999999999E-2</v>
      </c>
      <c r="W22" s="29" t="s">
        <v>109</v>
      </c>
      <c r="X22" s="42">
        <f>TTHH!$S$11</f>
        <v>2.1999999999999999E-2</v>
      </c>
    </row>
    <row r="23" spans="5:24" x14ac:dyDescent="0.3">
      <c r="E23" s="29" t="s">
        <v>455</v>
      </c>
      <c r="F23" s="40">
        <f ca="1">IF(F21&lt;0,(H13*I14)/TTHH!$S$14,(-1)*(H13*I14)/TTHH!$S$14)</f>
        <v>4.732347917249787E-3</v>
      </c>
      <c r="G23" s="29" t="s">
        <v>458</v>
      </c>
      <c r="H23" s="40">
        <f ca="1">IF(H21&lt;0,(H13*I15)/TTHH!$S$14,(-1)*(H13*I15)/TTHH!$S$14)</f>
        <v>-8.0171541186349338E-2</v>
      </c>
      <c r="L23" s="29" t="s">
        <v>455</v>
      </c>
      <c r="M23" s="40">
        <f ca="1">IF(M21&lt;0,(O13*P14)/TTHH!$S$14,(-1)*(O13*P14)/TTHH!$S$14)</f>
        <v>6.2019686312458176E-5</v>
      </c>
      <c r="N23" s="29" t="s">
        <v>458</v>
      </c>
      <c r="O23" s="40">
        <f ca="1">IF(O21&lt;0,(O13*P15)/TTHH!$S$14,(-1)*(O13*P15)/TTHH!$S$14)</f>
        <v>-1.0506864504698798E-3</v>
      </c>
      <c r="S23" s="29" t="s">
        <v>455</v>
      </c>
      <c r="T23" s="40">
        <f ca="1">IF(T21&lt;0,(V13*W14)/TTHH!$S$14,(-1)*(V13*W14)/TTHH!$S$14)</f>
        <v>-2.4330031061077272E-3</v>
      </c>
      <c r="U23" s="29" t="s">
        <v>458</v>
      </c>
      <c r="V23" s="40">
        <f ca="1">IF(V21&lt;0,(V13*W15)/TTHH!$S$14,(-1)*(V13*W15)/TTHH!$S$14)</f>
        <v>5.7247131908417126E-4</v>
      </c>
    </row>
    <row r="24" spans="5:24" x14ac:dyDescent="0.3">
      <c r="E24" s="29" t="s">
        <v>456</v>
      </c>
      <c r="F24" s="32">
        <f>IF(F16="Ninguno",0,IF(F16="Arrufo",(-3/4)*H16,IF(F16="Quebranto",(3/4)*H16,0)))</f>
        <v>0</v>
      </c>
      <c r="G24" s="29" t="s">
        <v>456</v>
      </c>
      <c r="H24" s="32">
        <f>IF(F16="Ninguno",0,IF(F16="Arrufo",(-3/4)*H16,IF(F16="Quebranto",(3/4)*H16,0)))</f>
        <v>0</v>
      </c>
      <c r="I24" s="29" t="s">
        <v>456</v>
      </c>
      <c r="J24" s="32">
        <f>IF(F16="Ninguno",0,IF(F16="Arrufo",(1/4)*H16,IF(F16="Quebranto",(-1/4)*H16,0)))</f>
        <v>0</v>
      </c>
      <c r="L24" s="29" t="s">
        <v>456</v>
      </c>
      <c r="M24" s="32">
        <f>IF(M16="Ninguno",0,IF(M16="Arrufo",(-3/4)*O16,IF(M16="Quebranto",(3/4)*O16,0)))</f>
        <v>0</v>
      </c>
      <c r="N24" s="29" t="s">
        <v>456</v>
      </c>
      <c r="O24" s="32">
        <f>IF(M16="Ninguno",0,IF(M16="Arrufo",(-3/4)*O16,IF(M16="Quebranto",(3/4)*O16,0)))</f>
        <v>0</v>
      </c>
      <c r="P24" s="29" t="s">
        <v>456</v>
      </c>
      <c r="Q24" s="32">
        <f>IF(M16="Ninguno",0,IF(M16="Arrufo",(1/4)*O16,IF(M16="Quebranto",(-1/4)*O16,0)))</f>
        <v>0</v>
      </c>
      <c r="S24" s="29" t="s">
        <v>456</v>
      </c>
      <c r="T24" s="32">
        <f>IF(T16="Ninguno",0,IF(T16="Arrufo",(-3/4)*V16,IF(T16="Quebranto",(3/4)*V16,0)))</f>
        <v>0</v>
      </c>
      <c r="U24" s="29" t="s">
        <v>456</v>
      </c>
      <c r="V24" s="32">
        <f>IF(T16="Ninguno",0,IF(T16="Arrufo",(-3/4)*V16,IF(T16="Quebranto",(3/4)*V16,0)))</f>
        <v>0</v>
      </c>
      <c r="W24" s="29" t="s">
        <v>456</v>
      </c>
      <c r="X24" s="32">
        <f>IF(T16="Ninguno",0,IF(T16="Arrufo",(1/4)*V16,IF(T16="Quebranto",(-1/4)*V16,0)))</f>
        <v>0</v>
      </c>
    </row>
  </sheetData>
  <conditionalFormatting sqref="G16">
    <cfRule type="expression" dxfId="175" priority="5">
      <formula>$F$16="Ninguno"</formula>
    </cfRule>
  </conditionalFormatting>
  <conditionalFormatting sqref="H13:I16 O13:P16 V13:W16 E21:H21 L21:O21 S21:V21 E22:J22 L22:Q22 S22:X22 E23:H23 L23:O23 S23:V23 E24:J24 L24:Q24 S24:X24">
    <cfRule type="expression" dxfId="174" priority="6">
      <formula>$K$22="Ocultar"</formula>
    </cfRule>
  </conditionalFormatting>
  <conditionalFormatting sqref="N16">
    <cfRule type="expression" dxfId="173" priority="4">
      <formula>$M$16="Ninguno"</formula>
    </cfRule>
  </conditionalFormatting>
  <conditionalFormatting sqref="U16">
    <cfRule type="expression" dxfId="172" priority="3">
      <formula>$T$16="Ninguno"</formula>
    </cfRule>
  </conditionalFormatting>
  <dataValidations count="2">
    <dataValidation type="list" allowBlank="1" showInputMessage="1" showErrorMessage="1" sqref="F16 T16 M16" xr:uid="{EE9894A5-4012-4260-9CB7-25001438FC31}">
      <formula1>"Ninguno,Arrufo,Quebranto"</formula1>
    </dataValidation>
    <dataValidation type="list" allowBlank="1" showInputMessage="1" showErrorMessage="1" sqref="K22" xr:uid="{F5157144-FDAD-4687-9B3D-4BAC1A1C47DE}">
      <formula1>"Ver Cuentas, Ocultar"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AD22-4A18-4183-8AFF-4BACA03C541F}">
  <sheetPr>
    <tabColor rgb="FFE2007D"/>
  </sheetPr>
  <dimension ref="E6:AT108"/>
  <sheetViews>
    <sheetView topLeftCell="S1" workbookViewId="0">
      <selection activeCell="U21" sqref="U21"/>
    </sheetView>
    <sheetView workbookViewId="1"/>
  </sheetViews>
  <sheetFormatPr baseColWidth="10" defaultRowHeight="14.4" x14ac:dyDescent="0.3"/>
  <cols>
    <col min="1" max="4" width="11.5546875" style="8"/>
    <col min="5" max="5" width="17" style="8" customWidth="1"/>
    <col min="6" max="6" width="5.6640625" style="8" customWidth="1"/>
    <col min="7" max="7" width="6" style="8" customWidth="1"/>
    <col min="8" max="8" width="5.33203125" style="8" customWidth="1"/>
    <col min="9" max="9" width="2.77734375" style="8" customWidth="1"/>
    <col min="10" max="10" width="11.5546875" style="8"/>
    <col min="11" max="11" width="6.88671875" style="8" customWidth="1"/>
    <col min="12" max="12" width="7.33203125" style="8" customWidth="1"/>
    <col min="13" max="13" width="5.88671875" style="8" customWidth="1"/>
    <col min="14" max="14" width="3.33203125" style="8" customWidth="1"/>
    <col min="15" max="20" width="11.5546875" style="8"/>
    <col min="21" max="21" width="11.88671875" style="8" customWidth="1"/>
    <col min="22" max="22" width="11.5546875" style="8" customWidth="1"/>
    <col min="23" max="24" width="5.5546875" style="8" customWidth="1"/>
    <col min="25" max="16384" width="11.5546875" style="8"/>
  </cols>
  <sheetData>
    <row r="6" spans="5:42" x14ac:dyDescent="0.3">
      <c r="E6" s="54" t="s">
        <v>467</v>
      </c>
      <c r="P6" s="57" t="s">
        <v>581</v>
      </c>
      <c r="S6" s="54" t="s">
        <v>468</v>
      </c>
    </row>
    <row r="7" spans="5:42" x14ac:dyDescent="0.3">
      <c r="AM7" s="29" t="s">
        <v>499</v>
      </c>
    </row>
    <row r="8" spans="5:42" x14ac:dyDescent="0.3">
      <c r="E8" s="54" t="s">
        <v>11</v>
      </c>
      <c r="F8" s="52" t="s">
        <v>464</v>
      </c>
      <c r="G8" s="52" t="s">
        <v>465</v>
      </c>
      <c r="H8" s="52" t="s">
        <v>362</v>
      </c>
      <c r="I8" s="52"/>
      <c r="J8" s="52" t="s">
        <v>466</v>
      </c>
      <c r="K8" s="52"/>
      <c r="L8" s="52"/>
      <c r="M8" s="52" t="s">
        <v>355</v>
      </c>
      <c r="N8" s="52"/>
      <c r="O8" s="52"/>
      <c r="P8" s="52" t="s">
        <v>469</v>
      </c>
      <c r="Q8" s="29" t="s">
        <v>360</v>
      </c>
      <c r="R8" s="29" t="s">
        <v>361</v>
      </c>
      <c r="S8" s="54" t="s">
        <v>477</v>
      </c>
      <c r="T8" s="52" t="s">
        <v>3</v>
      </c>
      <c r="U8" s="54" t="s">
        <v>495</v>
      </c>
      <c r="V8" s="52" t="s">
        <v>354</v>
      </c>
      <c r="Y8" s="52" t="s">
        <v>361</v>
      </c>
      <c r="Z8" s="52" t="s">
        <v>128</v>
      </c>
      <c r="AA8" s="29" t="s">
        <v>503</v>
      </c>
      <c r="AB8" s="29" t="s">
        <v>502</v>
      </c>
      <c r="AC8" s="29" t="s">
        <v>360</v>
      </c>
      <c r="AE8" s="29" t="s">
        <v>99</v>
      </c>
      <c r="AF8" s="29" t="s">
        <v>15</v>
      </c>
      <c r="AG8" s="29" t="s">
        <v>383</v>
      </c>
      <c r="AI8" s="29" t="s">
        <v>15</v>
      </c>
      <c r="AM8" s="29" t="s">
        <v>482</v>
      </c>
      <c r="AN8" s="29" t="s">
        <v>99</v>
      </c>
      <c r="AO8" s="29" t="s">
        <v>15</v>
      </c>
      <c r="AP8" s="29" t="s">
        <v>383</v>
      </c>
    </row>
    <row r="9" spans="5:42" x14ac:dyDescent="0.3">
      <c r="E9" s="52" t="s">
        <v>6</v>
      </c>
      <c r="F9" s="52" t="str">
        <f>'D Actual'!F8</f>
        <v>Vacio</v>
      </c>
      <c r="G9" s="52">
        <f>IF(AND(F9="Slack",'D Actual'!G8="%"), 'D Actual'!H8, ('D Actual'!O8/TTHH!Y10)*100)</f>
        <v>0</v>
      </c>
      <c r="H9" s="57" t="str" cm="1">
        <f t="array" ref="H9:H13">Interfaz!H173:H177</f>
        <v>Full</v>
      </c>
      <c r="I9" s="63"/>
      <c r="J9" s="60" cm="1">
        <f t="array" ref="J9:J13">Interfaz!I173:I177</f>
        <v>0</v>
      </c>
      <c r="K9" s="57" cm="1">
        <f t="array" ref="K9:K13">Interfaz!J173:J177</f>
        <v>0</v>
      </c>
      <c r="L9" s="57" t="str" cm="1">
        <f t="array" ref="L9:L13">Interfaz!K173:K177</f>
        <v>Fe</v>
      </c>
      <c r="M9" s="60" cm="1">
        <f t="array" ref="M9:M13">Interfaz!L173:L177</f>
        <v>42</v>
      </c>
      <c r="N9" s="57" t="str" cm="1">
        <f t="array" ref="N9:N13">Interfaz!M173:M177</f>
        <v>ft3</v>
      </c>
      <c r="O9" s="57" t="str" cm="1">
        <f t="array" ref="O9:O13">Interfaz!N173:N177</f>
        <v>Tm</v>
      </c>
      <c r="P9" s="56">
        <f>IFERROR(IF(H9="Vacio",0,IF(F9="Full",'D Actual'!N8,IF(H9="Full",Q9/R9,IF(H9="Slack",IF(I9="%",Q9/R9,IF(AND(I9="D",K9="Tm"),J9,IF(AND(I9="D",K9="LT"),J9*1.01605,IF(I9="V",Q9/R9,0)))),0)))),"Error")</f>
        <v>10453.033452397769</v>
      </c>
      <c r="Q9" s="32">
        <f>IF(H9="Vacio",0,IF(OR(H9="Full",F9="Full"),TTHH!Y10,IF(H9="Slack",IF(I9="D",P9*R9,IF(AND(I9="V",K9="m3"),J9,IF(AND(I9="V",K9="ft3"),J9*0.028316,IF(I9="%",TTHH!C10*J9/100,0)))),0)))</f>
        <v>12431.5</v>
      </c>
      <c r="R9" s="32">
        <f>IF(F9="Full",'D Actual'!P8,IF(OR(AND(N9="m3",O9="Tm"),AND(O9="m3",N9="Tm")),G14,IF(OR(AND(N9="m3",O9="LT"),AND(O9="m3",N9="LT")),G14/1.01605,IF(OR(AND(N9="ft3",O9="Tm"),AND(O9="ft3",N9="Tm")),G14*0.028316,IF(OR(AND(N9="ft3",O9="LT"),AND(O9="ft3",N9="LT")),G14*(0.028316/1.01605),0)))))</f>
        <v>1.1892720000000001</v>
      </c>
      <c r="S9" s="52" t="s">
        <v>6</v>
      </c>
      <c r="T9" s="56" cm="1">
        <f t="array" ref="T9:T13">_xlfn.ANCHORARRAY(T34)</f>
        <v>10453.033452397769</v>
      </c>
      <c r="U9" s="57" t="str" cm="1">
        <f t="array" ref="U9:U13">Interfaz!D269:D273</f>
        <v/>
      </c>
      <c r="V9" s="60" cm="1">
        <f t="array" ref="V9:V13">Interfaz!H281:H285</f>
        <v>0</v>
      </c>
      <c r="W9" s="57" cm="1">
        <f t="array" ref="W9:W13">Interfaz!I281:I285</f>
        <v>0</v>
      </c>
      <c r="X9" s="57" cm="1">
        <f t="array" ref="X9:X13">Interfaz!J281:J285</f>
        <v>0</v>
      </c>
      <c r="Y9" s="56">
        <f>IF(OR(AND(W9="m3",X9="Tm"),AND(X9="m3",W9="Tm")), V9, IF(OR(AND(W9="m3",X9="LT"),AND(X9="m3",W9="LT")), V9/1.01605, IF(OR(AND(W9="ft3",X9="Tm"),AND(X9="ft3",W9="Tm")), V9*0.028316, IF(OR(AND(W9="ft3",X9="LT"),AND(X9="ft3",W9="LT")), V9*(0.028316/1.01605), 0))))</f>
        <v>0</v>
      </c>
      <c r="Z9" s="24" t="str">
        <f>IFERROR(_xlfn.XLOOKUP(U9,$AD$10:$AD$11,$AE$10:$AE$11)*Y9,"")</f>
        <v/>
      </c>
      <c r="AA9" s="44">
        <f>IF(U9&lt;&gt;"",Z9/Y9,T9)</f>
        <v>10453.033452397769</v>
      </c>
      <c r="AB9" s="47">
        <f>AE74</f>
        <v>12431.5</v>
      </c>
      <c r="AC9" s="44">
        <f>IF(U9&lt;&gt;"",Z9,Q9)</f>
        <v>12431.5</v>
      </c>
      <c r="AD9" s="29" t="s">
        <v>478</v>
      </c>
      <c r="AE9" s="31">
        <f>T108</f>
        <v>45442.480984167531</v>
      </c>
      <c r="AF9" s="42">
        <f ca="1">W108</f>
        <v>93.740131508288613</v>
      </c>
      <c r="AG9" s="32">
        <f ca="1">AE9*AF9</f>
        <v>4259784.1435187692</v>
      </c>
      <c r="AH9" s="29" t="s">
        <v>6</v>
      </c>
      <c r="AI9" s="32">
        <f ca="1">IFERROR(FORECAST(AF22, OFFSET(TTHH!$AA$10,MATCH(AF22,TTHH!$Y$10:$Y$99,-1)-1,0,2), OFFSET(TTHH!$Y$10,MATCH(AF22,TTHH!$Y$10:$Y$99,-1)-1,0,2)),0)</f>
        <v>158.59</v>
      </c>
      <c r="AM9" s="43" t="str" cm="1">
        <f t="array" ref="AM9:AM17">Consumos!E9:E17</f>
        <v>Deep P 2</v>
      </c>
      <c r="AN9" s="31" cm="1">
        <f t="array" ref="AN9:AN17">Consumos!J9:J17</f>
        <v>354.57799999999997</v>
      </c>
      <c r="AO9" s="6">
        <f t="shared" ref="AO9:AO17" si="0">IFERROR(_xlfn.XLOOKUP(AM9,$AD$92:$AD$100,$AE$92:$AE$100),0)</f>
        <v>17.920000000000002</v>
      </c>
      <c r="AP9" s="32">
        <f>IFERROR(AN9*AO9,0)</f>
        <v>6354.0377600000002</v>
      </c>
    </row>
    <row r="10" spans="5:42" x14ac:dyDescent="0.3">
      <c r="E10" s="52" t="s">
        <v>7</v>
      </c>
      <c r="F10" s="52" t="str">
        <f>'D Actual'!F9</f>
        <v>Vacio</v>
      </c>
      <c r="G10" s="52">
        <f>IF(AND(F10="Slack",'D Actual'!G9="%"), 'D Actual'!H9, ('D Actual'!O9/Tabla24[[#This Row],[Columna3]])*100)</f>
        <v>0</v>
      </c>
      <c r="H10" s="57">
        <v>0</v>
      </c>
      <c r="I10" s="63"/>
      <c r="J10" s="60">
        <v>0</v>
      </c>
      <c r="K10" s="57">
        <v>0</v>
      </c>
      <c r="L10" s="57">
        <v>0</v>
      </c>
      <c r="M10" s="60">
        <v>0</v>
      </c>
      <c r="N10" s="57">
        <v>0</v>
      </c>
      <c r="O10" s="57">
        <v>0</v>
      </c>
      <c r="P10" s="56">
        <f>IFERROR(IF(H10="Vacio",0,IF(F10="Full",'D Actual'!N9,IF(H10="Full",Q10/R10,IF(H10="Slack",IF(I10="%",Q10/R10,IF(AND(I10="D",K10="Tm"),J10,IF(AND(I10="D",K10="LT"),J10*1.01605,IF(I10="V",Q10/R10,0)))),0)))),"Error")</f>
        <v>0</v>
      </c>
      <c r="Q10" s="32">
        <f>IF(H10="Vacio",0,IF(OR(H10="Full",F10="Full"),TTHH!AF10,IF(H10="Slack",IF(I10="D","Irrelevante",IF(AND(I10="V",K10="m3"),J10,IF(AND(I10="V",K10="ft3"),J10*0.028316,IF(I10="%",TTHH!AF10*J10/100,0)))),0)))</f>
        <v>0</v>
      </c>
      <c r="R10" s="32">
        <f>IF(F10="Full",'D Actual'!P9,IF(OR(AND(N10="m3",O10="Tm"),AND(O10="m3",N10="Tm")),J14,IF(OR(AND(N10="m3",O10="LT"),AND(O10="m3",N10="LT")),J14/1.01605,IF(OR(AND(N10="ft3",O10="Tm"),AND(O10="ft3",N10="Tm")),J14*0.028316,IF(OR(AND(N10="ft3",O10="LT"),AND(O10="ft3",N10="LT")),J14*(0.028316/1.01605),0)))))</f>
        <v>0</v>
      </c>
      <c r="S10" s="52" t="s">
        <v>7</v>
      </c>
      <c r="T10" s="56">
        <v>0</v>
      </c>
      <c r="U10" s="57" t="str">
        <v>B2</v>
      </c>
      <c r="V10" s="60">
        <v>45</v>
      </c>
      <c r="W10" s="57" t="str">
        <v>ft3</v>
      </c>
      <c r="X10" s="57" t="str">
        <v>Tm</v>
      </c>
      <c r="Y10" s="56">
        <f>IF(OR(AND(W10="m3",X10="Tm"),AND(X10="m3",W10="Tm")), V10, IF(OR(AND(W10="m3",X10="LT"),AND(X10="m3",W10="LT")), V10/1.01605, IF(OR(AND(W10="ft3",X10="Tm"),AND(X10="ft3",W10="Tm")), V10*0.028316, IF(OR(AND(W10="ft3",X10="LT"),AND(X10="ft3",W10="LT")), V10*(0.028316/1.01605), 0))))</f>
        <v>1.2742200000000001</v>
      </c>
      <c r="Z10" s="24">
        <f ca="1">IFERROR(_xlfn.XLOOKUP(U10,$AD$10:$AD$11,$AE$10:$AE$11)*Y10,"")</f>
        <v>8493.9209094852049</v>
      </c>
      <c r="AA10" s="44">
        <f ca="1">IF(U10&lt;&gt;"",Z10/Y10,T10)</f>
        <v>6665.9767618505466</v>
      </c>
      <c r="AB10" s="47">
        <f>AE75</f>
        <v>13349.5</v>
      </c>
      <c r="AC10" s="44">
        <f ca="1">IF(U10&lt;&gt;"",Z10,Q10)</f>
        <v>8493.9209094852049</v>
      </c>
      <c r="AD10" s="29" t="str" cm="1">
        <f t="array" ref="AD10">INDEX(_xlfn._xlws.FILTER($U$9:$U$13, $U$9:$U$13&lt;&gt;""), 1)</f>
        <v>B2</v>
      </c>
      <c r="AE10" s="44">
        <f ca="1">((AG19 - (AG9 + SUM(AG12:AG17))) - ((AE19 - (AE9 + SUM(AE12:AE17))) * AF11)) / (AF10 - AF11)</f>
        <v>6665.9767618505466</v>
      </c>
      <c r="AF10" s="7">
        <f ca="1">VLOOKUP(AD10,$AH$9:$AI$13, 2, FALSE)</f>
        <v>130.02000000000001</v>
      </c>
      <c r="AG10" s="32">
        <f ca="1">AE10*AF10</f>
        <v>866710.29857580818</v>
      </c>
      <c r="AH10" s="29" t="s">
        <v>7</v>
      </c>
      <c r="AI10" s="32">
        <f ca="1">IFERROR(FORECAST(AF23, OFFSET(TTHH!$AH$10,MATCH(AF23,TTHH!$AF$10:$AF$100,-1)-1,0,2), OFFSET(TTHH!$AF$10,MATCH(AF23,TTHH!$AF$10:$AF$100,-1)-1,0,2)),0)</f>
        <v>130.02000000000001</v>
      </c>
      <c r="AM10" s="43" t="str">
        <v>Service Tk 1</v>
      </c>
      <c r="AN10" s="31">
        <v>42.94</v>
      </c>
      <c r="AO10" s="6">
        <f t="shared" si="0"/>
        <v>22.4</v>
      </c>
      <c r="AP10" s="32">
        <f t="shared" ref="AP10:AP17" si="1">IFERROR(AN10*AO10,0)</f>
        <v>961.85599999999988</v>
      </c>
    </row>
    <row r="11" spans="5:42" x14ac:dyDescent="0.3">
      <c r="E11" s="52" t="s">
        <v>8</v>
      </c>
      <c r="F11" s="52" t="str">
        <f>'D Actual'!F10</f>
        <v>Vacio</v>
      </c>
      <c r="G11" s="52">
        <f>IF(AND(F11="Slack",'D Actual'!G10="%"), 'D Actual'!H10, ('D Actual'!O10/TTHH!AM10)*100)</f>
        <v>0</v>
      </c>
      <c r="H11" s="57" t="str">
        <v>Full</v>
      </c>
      <c r="I11" s="63"/>
      <c r="J11" s="60">
        <v>0</v>
      </c>
      <c r="K11" s="57">
        <v>0</v>
      </c>
      <c r="L11" s="57" t="str">
        <v>Fe</v>
      </c>
      <c r="M11" s="60">
        <v>42</v>
      </c>
      <c r="N11" s="57" t="str">
        <v>ft3</v>
      </c>
      <c r="O11" s="57" t="str">
        <v>Tm</v>
      </c>
      <c r="P11" s="56">
        <f>IFERROR(IF(H11="Vacio",0,IF(F11="Full",'D Actual'!N10,IF(H11="Full",Q11/R11,IF(H11="Slack",IF(I11="%",Q11/R11,IF(AND(I11="D",K11="Tm"),J11,IF(AND(I11="D",K11="LT"),J11*1.01605,IF(I11="V",Q11/R11,0)))),0)))),"Error")</f>
        <v>11226.447776454837</v>
      </c>
      <c r="Q11" s="32">
        <f>IF(H11="Vacio",0,IF(OR(H11="Full",F11="Full"),TTHH!AM10,IF(H11="Slack",IF(I11="D",P11*R11,IF(AND(I11="V",K11="m3"),J11,IF(AND(I11="V",K11="ft3"),J11*0.028316,IF(I11="%",TTHH!C12*J11/100,0)))),0)))</f>
        <v>13351.3</v>
      </c>
      <c r="R11" s="32">
        <f>IF(F11="Full",'D Actual'!P10,IF(OR(AND(N11="m3",O11="Tm"),AND(O11="m3",N11="Tm")),M14,IF(OR(AND(N11="m3",O11="LT"),AND(O11="m3",N11="LT")),M14/1.01605,IF(OR(AND(N11="ft3",O11="Tm"),AND(O11="ft3",N11="Tm")),M14*0.028316,IF(OR(AND(N11="ft3",O11="LT"),AND(O11="ft3",N11="LT")),M14*(0.028316/1.01605),0)))))</f>
        <v>1.1892720000000001</v>
      </c>
      <c r="S11" s="52" t="s">
        <v>8</v>
      </c>
      <c r="T11" s="56">
        <v>11226.447776454837</v>
      </c>
      <c r="U11" s="57" t="str">
        <v/>
      </c>
      <c r="V11" s="60">
        <v>0</v>
      </c>
      <c r="W11" s="57">
        <v>0</v>
      </c>
      <c r="X11" s="57">
        <v>0</v>
      </c>
      <c r="Y11" s="56">
        <f>IF(OR(AND(W11="m3",X11="Tm"),AND(X11="m3",W11="Tm")), V11, IF(OR(AND(W11="m3",X11="LT"),AND(X11="m3",W11="LT")), V11/1.01605, IF(OR(AND(W11="ft3",X11="Tm"),AND(X11="ft3",W11="Tm")), V11*0.028316, IF(OR(AND(W11="ft3",X11="LT"),AND(X11="ft3",W11="LT")), V11*(0.028316/1.01605), 0))))</f>
        <v>0</v>
      </c>
      <c r="Z11" s="24" t="str">
        <f>IFERROR(_xlfn.XLOOKUP(U11,$AD$10:$AD$11,$AE$10:$AE$11)*Y11,"")</f>
        <v/>
      </c>
      <c r="AA11" s="44">
        <f>IF(U11&lt;&gt;"",Z11/Y11,T11)</f>
        <v>11226.447776454837</v>
      </c>
      <c r="AB11" s="47">
        <f>AE76</f>
        <v>13351.3</v>
      </c>
      <c r="AC11" s="44">
        <f>IF(U11&lt;&gt;"",Z11,Q11)</f>
        <v>13351.3</v>
      </c>
      <c r="AD11" s="29" t="str" cm="1">
        <f t="array" ref="AD11">INDEX(_xlfn._xlws.FILTER($U$9:$U$13, $U$9:$U$13&lt;&gt;""), 2)</f>
        <v>B4</v>
      </c>
      <c r="AE11" s="44">
        <f ca="1">(AE19 - (AE9 + SUM(AE12:AE17))) - AE10</f>
        <v>972.4422539819243</v>
      </c>
      <c r="AF11" s="7">
        <f ca="1">VLOOKUP(AD11,$AH$9:$AI$13, 2, FALSE)</f>
        <v>72.400000000000006</v>
      </c>
      <c r="AG11" s="32">
        <f ca="1">AE11*AF11</f>
        <v>70404.819188291323</v>
      </c>
      <c r="AH11" s="29" t="s">
        <v>8</v>
      </c>
      <c r="AI11" s="32">
        <f ca="1">IFERROR(FORECAST(AF24, OFFSET(TTHH!$AO$10,MATCH(AF24,TTHH!$AM$10:$AM$100,-1)-1,0,2), OFFSET(TTHH!$AM$10,MATCH(AF24,TTHH!$AM$10:$AM$100,-1)-1,0,2)),0)</f>
        <v>101.22</v>
      </c>
      <c r="AM11" s="43" t="str">
        <v>Deep S 2</v>
      </c>
      <c r="AN11" s="31">
        <v>113.46733396604662</v>
      </c>
      <c r="AO11" s="6">
        <f t="shared" si="0"/>
        <v>17.47</v>
      </c>
      <c r="AP11" s="32">
        <f t="shared" si="1"/>
        <v>1982.2743243868345</v>
      </c>
    </row>
    <row r="12" spans="5:42" x14ac:dyDescent="0.3">
      <c r="E12" s="52" t="s">
        <v>9</v>
      </c>
      <c r="F12" s="52" t="str">
        <f>'D Actual'!F11</f>
        <v>Vacio</v>
      </c>
      <c r="G12" s="52">
        <f>IF(AND(F12="Slack",'D Actual'!G11="%"), 'D Actual'!H11, ('D Actual'!O11/TTHH!AT10)*100)</f>
        <v>0</v>
      </c>
      <c r="H12" s="57">
        <v>0</v>
      </c>
      <c r="I12" s="63"/>
      <c r="J12" s="60">
        <v>0</v>
      </c>
      <c r="K12" s="57">
        <v>0</v>
      </c>
      <c r="L12" s="57">
        <v>0</v>
      </c>
      <c r="M12" s="60">
        <v>0</v>
      </c>
      <c r="N12" s="57">
        <v>0</v>
      </c>
      <c r="O12" s="57">
        <v>0</v>
      </c>
      <c r="P12" s="56">
        <f>IFERROR(IF(H12="Vacio",0,IF(F12="Full",'D Actual'!N11,IF(H12="Full",Q12/R12,IF(H12="Slack",IF(I12="%",Q12/R12,IF(AND(I12="D",K12="Tm"),J12,IF(AND(I12="D",K12="LT"),J12*1.01605,IF(I12="V",Q12/R12,0)))),0)))),"Error")</f>
        <v>0</v>
      </c>
      <c r="Q12" s="32">
        <f>IF(H12="Vacio",0,IF(OR(H12="Full",F12="Full"),TTHH!AT10,IF(H12="Slack",IF(I12="D",P12*R12,IF(AND(I12="V",K12="m3"),J12,IF(AND(I12="V",K12="ft3"),J12*0.028316,IF(I12="%",TTHH!C13*J12/100,0)))),0)))</f>
        <v>0</v>
      </c>
      <c r="R12" s="32">
        <f>IF(F12="Full",'D Actual'!P11,IF(OR(AND(N12="m3",O12="Tm"),AND(O12="m3",N12="Tm")),P14,IF(OR(AND(N12="m3",O12="LT"),AND(O12="m3",N12="LT")),P14/1.01605,IF(OR(AND(N12="ft3",O12="Tm"),AND(O12="ft3",N12="Tm")),P14*0.028316,IF(OR(AND(N12="ft3",O12="LT"),AND(O12="ft3",N12="LT")),P14*(0.028316/1.01605),0)))))</f>
        <v>0</v>
      </c>
      <c r="S12" s="52" t="s">
        <v>9</v>
      </c>
      <c r="T12" s="56">
        <v>0</v>
      </c>
      <c r="U12" s="57" t="str">
        <v>B4</v>
      </c>
      <c r="V12" s="60">
        <v>1.18</v>
      </c>
      <c r="W12" s="57" t="str">
        <v>m3</v>
      </c>
      <c r="X12" s="57" t="str">
        <v>Tm</v>
      </c>
      <c r="Y12" s="56">
        <f>IF(OR(AND(W12="m3",X12="Tm"),AND(X12="m3",W12="Tm")), V12, IF(OR(AND(W12="m3",X12="LT"),AND(X12="m3",W12="LT")), V12/1.01605, IF(OR(AND(W12="ft3",X12="Tm"),AND(X12="ft3",W12="Tm")), V12*0.028316, IF(OR(AND(W12="ft3",X12="LT"),AND(X12="ft3",W12="LT")), V12*(0.028316/1.01605), 0))))</f>
        <v>1.18</v>
      </c>
      <c r="Z12" s="24">
        <f ca="1">IFERROR(_xlfn.XLOOKUP(U12,$AD$10:$AD$11,$AE$10:$AE$11)*Y12,"")</f>
        <v>1147.4818596986706</v>
      </c>
      <c r="AA12" s="44">
        <f ca="1">IF(U12&lt;&gt;"",Z12/Y12,T12)</f>
        <v>972.4422539819243</v>
      </c>
      <c r="AB12" s="47">
        <f>AE77</f>
        <v>13349.6</v>
      </c>
      <c r="AC12" s="44">
        <f ca="1">IF(U12&lt;&gt;"",Z12,Q12)</f>
        <v>1147.4818596986706</v>
      </c>
      <c r="AD12" s="29" t="s">
        <v>482</v>
      </c>
      <c r="AE12" s="31">
        <f>IF(S21="A SAL (cm)",0,(-1)*AN18)</f>
        <v>0</v>
      </c>
      <c r="AF12" s="42">
        <f>AO18</f>
        <v>18.196545901265864</v>
      </c>
      <c r="AG12" s="32">
        <f t="shared" ref="AG12:AG17" si="2">AE12*AF12</f>
        <v>0</v>
      </c>
      <c r="AH12" s="29" t="s">
        <v>9</v>
      </c>
      <c r="AI12" s="32">
        <f ca="1">IFERROR(FORECAST(AF25, OFFSET(TTHH!$AV$10,MATCH(AF25,TTHH!$AT$10:$AT$100,-1)-1,0,2), OFFSET(TTHH!$AT$10,MATCH(AF25,TTHH!$AT$10:$AT$100,-1)-1,0,2)),0)</f>
        <v>72.400000000000006</v>
      </c>
      <c r="AM12" s="43">
        <v>0</v>
      </c>
      <c r="AN12" s="31">
        <v>0</v>
      </c>
      <c r="AO12" s="6">
        <f>IFERROR(_xlfn.XLOOKUP(AM12,$AD$92:$AD$100,$AE$92:$AE$100),0)</f>
        <v>0</v>
      </c>
      <c r="AP12" s="32">
        <f t="shared" si="1"/>
        <v>0</v>
      </c>
    </row>
    <row r="13" spans="5:42" x14ac:dyDescent="0.3">
      <c r="E13" s="52" t="s">
        <v>10</v>
      </c>
      <c r="F13" s="52" t="str">
        <f>'D Actual'!F12</f>
        <v>Vacio</v>
      </c>
      <c r="G13" s="52">
        <f>IF(AND(F13="Slack",'D Actual'!G12="%"), 'D Actual'!H12, ('D Actual'!O12/TTHH!BA10)*100)</f>
        <v>0</v>
      </c>
      <c r="H13" s="57" t="str">
        <v>Full</v>
      </c>
      <c r="I13" s="63"/>
      <c r="J13" s="60">
        <v>0</v>
      </c>
      <c r="K13" s="57">
        <v>0</v>
      </c>
      <c r="L13" s="57" t="str">
        <v>Fe</v>
      </c>
      <c r="M13" s="60">
        <v>42</v>
      </c>
      <c r="N13" s="57" t="str">
        <v>ft3</v>
      </c>
      <c r="O13" s="57" t="str">
        <v>Tm</v>
      </c>
      <c r="P13" s="56">
        <f>IFERROR(IF(H13="Vacio",0,IF(F13="Full",'D Actual'!N12,IF(H13="Full",Q13/R13,IF(H13="Slack",IF(I13="%",Q13/R13,IF(AND(I13="D",K13="Tm"),J13,IF(AND(I13="D",K13="LT"),J13*1.01605,IF(I13="V",Q13/R13,0)))),0)))),"Error")</f>
        <v>11154.218715314913</v>
      </c>
      <c r="Q13" s="32">
        <f>IF(H13="Vacio",0,IF(OR(H13="Full",F13="Full"),TTHH!BA10,IF(H13="Slack",IF(I13="D",P13*R13,IF(AND(I13="V",K13="m3"),J13,IF(AND(I13="V",K13="ft3"),J13*0.028316,IF(I13="%",TTHH!C14*J13/100,0)))),0)))</f>
        <v>13265.4</v>
      </c>
      <c r="R13" s="32">
        <f>IF(F13="Full",'D Actual'!P12,IF(OR(AND(N13="m3",O13="Tm"),AND(O13="m3",N13="Tm")),R14,IF(OR(AND(N13="m3",O13="LT"),AND(O13="m3",N13="LT")),R14/1.01605,IF(OR(AND(N13="ft3",O13="Tm"),AND(O13="ft3",N13="Tm")),R14*0.028316,IF(OR(AND(N13="ft3",O13="LT"),AND(O13="ft3",N13="LT")),R14*(0.028316/1.01605),0)))))</f>
        <v>1.1892720000000001</v>
      </c>
      <c r="S13" s="52" t="s">
        <v>10</v>
      </c>
      <c r="T13" s="56">
        <v>11154.218715314913</v>
      </c>
      <c r="U13" s="57" t="str">
        <v/>
      </c>
      <c r="V13" s="60">
        <v>0</v>
      </c>
      <c r="W13" s="57">
        <v>0</v>
      </c>
      <c r="X13" s="57">
        <v>0</v>
      </c>
      <c r="Y13" s="56">
        <f>IF(OR(AND(W13="m3",X13="Tm"),AND(X13="m3",W13="Tm")), V13, IF(OR(AND(W13="m3",X13="LT"),AND(X13="m3",W13="LT")), V13/1.01605, IF(OR(AND(W13="ft3",X13="Tm"),AND(X13="ft3",W13="Tm")), V13*0.028316, IF(OR(AND(W13="ft3",X13="LT"),AND(X13="ft3",W13="LT")), V13*(0.028316/1.01605), 0))))</f>
        <v>0</v>
      </c>
      <c r="Z13" s="24" t="str">
        <f>IFERROR(_xlfn.XLOOKUP(U13,$AD$10:$AD$11,$AE$10:$AE$11)*Y13,"")</f>
        <v/>
      </c>
      <c r="AA13" s="44">
        <f>IF(U13&lt;&gt;"",Z13/Y13,T13)</f>
        <v>11154.218715314913</v>
      </c>
      <c r="AB13" s="47">
        <f>AE78</f>
        <v>13265.4</v>
      </c>
      <c r="AC13" s="44">
        <f>IF(U13&lt;&gt;"",Z13,Q13)</f>
        <v>13265.4</v>
      </c>
      <c r="AD13" s="29" t="s">
        <v>483</v>
      </c>
      <c r="AE13" s="31">
        <f>IF(S21="A SAL (cm)",0,(-1)*AN26)</f>
        <v>0</v>
      </c>
      <c r="AF13" s="42">
        <f>AO26</f>
        <v>13.730319200871726</v>
      </c>
      <c r="AG13" s="32">
        <f t="shared" si="2"/>
        <v>0</v>
      </c>
      <c r="AH13" s="29" t="s">
        <v>10</v>
      </c>
      <c r="AI13" s="32">
        <f ca="1">IFERROR(FORECAST(AF26, OFFSET(TTHH!$BC$10,MATCH(AF26,TTHH!$BA$10:$BA$100,-1)-1,0,2), OFFSET(TTHH!$BA$10,MATCH(AF26,TTHH!$BA$10:$BA$100,-1)-1,0,2)),0)</f>
        <v>43.26</v>
      </c>
      <c r="AM13" s="43">
        <v>0</v>
      </c>
      <c r="AN13" s="31">
        <v>0</v>
      </c>
      <c r="AO13" s="6">
        <f t="shared" si="0"/>
        <v>0</v>
      </c>
      <c r="AP13" s="32">
        <f t="shared" si="1"/>
        <v>0</v>
      </c>
    </row>
    <row r="14" spans="5:42" x14ac:dyDescent="0.3">
      <c r="G14" s="32">
        <f>IF(L9="Fe",M9,IF(L9="d",1/M9,0))</f>
        <v>42</v>
      </c>
      <c r="H14" s="29" t="s">
        <v>7</v>
      </c>
      <c r="J14" s="32">
        <f>IF(L10="Fe",M10,IF(L10="d",1/M10,0))</f>
        <v>0</v>
      </c>
      <c r="L14" s="29" t="s">
        <v>8</v>
      </c>
      <c r="M14" s="32">
        <f>IF(L11="Fe",M11,IF(L11="d",1/M11,0))</f>
        <v>42</v>
      </c>
      <c r="O14" s="29" t="s">
        <v>9</v>
      </c>
      <c r="P14" s="32">
        <f>IF(L12="Fe",M12,IF(L12="d",1/M12,0))</f>
        <v>0</v>
      </c>
      <c r="Q14" s="29" t="s">
        <v>10</v>
      </c>
      <c r="R14" s="32">
        <f>IF(L13="Fe",M13,IF(L13="d",1/M13,0))</f>
        <v>42</v>
      </c>
      <c r="AC14" s="29" t="s">
        <v>354</v>
      </c>
      <c r="AD14" s="29" t="s">
        <v>485</v>
      </c>
      <c r="AE14" s="31">
        <f>IF(S21="A SAL (cm)",0,AN40*(-1))</f>
        <v>0</v>
      </c>
      <c r="AF14" s="42">
        <f>AO40</f>
        <v>9.005757735924675</v>
      </c>
      <c r="AG14" s="32">
        <f t="shared" si="2"/>
        <v>0</v>
      </c>
      <c r="AM14" s="43">
        <v>0</v>
      </c>
      <c r="AN14" s="31">
        <v>0</v>
      </c>
      <c r="AO14" s="6">
        <f t="shared" si="0"/>
        <v>0</v>
      </c>
      <c r="AP14" s="32">
        <f t="shared" si="1"/>
        <v>0</v>
      </c>
    </row>
    <row r="15" spans="5:42" x14ac:dyDescent="0.3">
      <c r="S15" s="54" t="s">
        <v>478</v>
      </c>
      <c r="T15" s="56">
        <f>T108</f>
        <v>45442.480984167531</v>
      </c>
      <c r="Y15" s="54" t="s">
        <v>481</v>
      </c>
      <c r="Z15" s="52" t="s">
        <v>3</v>
      </c>
      <c r="AA15" s="46"/>
      <c r="AC15" s="44">
        <f>IF(U9&lt;&gt;"",Y9,R9)</f>
        <v>1.1892720000000001</v>
      </c>
      <c r="AD15" s="29" t="s">
        <v>486</v>
      </c>
      <c r="AE15" s="31">
        <f>IF(S21="A SAL (cm)",0,(-1)*AN47)</f>
        <v>0</v>
      </c>
      <c r="AF15" s="42">
        <f>AO47</f>
        <v>0</v>
      </c>
      <c r="AG15" s="32">
        <f t="shared" si="2"/>
        <v>0</v>
      </c>
      <c r="AM15" s="43">
        <v>0</v>
      </c>
      <c r="AN15" s="31">
        <v>0</v>
      </c>
      <c r="AO15" s="6">
        <f t="shared" si="0"/>
        <v>0</v>
      </c>
      <c r="AP15" s="32">
        <f t="shared" si="1"/>
        <v>0</v>
      </c>
    </row>
    <row r="16" spans="5:42" x14ac:dyDescent="0.3">
      <c r="E16" s="54" t="s">
        <v>46</v>
      </c>
      <c r="F16" s="52" t="s">
        <v>464</v>
      </c>
      <c r="G16" s="52" t="s">
        <v>465</v>
      </c>
      <c r="H16" s="52" t="s">
        <v>362</v>
      </c>
      <c r="I16" s="52"/>
      <c r="J16" s="52" t="s">
        <v>363</v>
      </c>
      <c r="K16" s="52" t="s">
        <v>359</v>
      </c>
      <c r="L16" s="52">
        <f>'D Actual'!K15</f>
        <v>0.95</v>
      </c>
      <c r="M16" s="52"/>
      <c r="N16" s="52"/>
      <c r="O16" s="52" t="s">
        <v>469</v>
      </c>
      <c r="P16" s="29" t="s">
        <v>360</v>
      </c>
      <c r="Q16" s="29" t="s">
        <v>359</v>
      </c>
      <c r="S16" s="54" t="s">
        <v>479</v>
      </c>
      <c r="T16" s="56">
        <f ca="1">'D Máximos'!I13</f>
        <v>53080.9</v>
      </c>
      <c r="W16" s="24"/>
      <c r="Y16" s="52" t="s">
        <v>6</v>
      </c>
      <c r="Z16" s="56" cm="1">
        <f t="array" aca="1" ref="Z16:Z20" ca="1">AD74:AD78</f>
        <v>10453.033452397769</v>
      </c>
      <c r="AC16" s="44">
        <f>IF(U10&lt;&gt;"",Y10,R10)</f>
        <v>1.2742200000000001</v>
      </c>
      <c r="AD16" s="29" t="s">
        <v>487</v>
      </c>
      <c r="AE16" s="31">
        <f>IF(S21="A SAL (cm)",0,(-1)*AN62)</f>
        <v>0</v>
      </c>
      <c r="AF16" s="42">
        <f>AO62</f>
        <v>-0.81</v>
      </c>
      <c r="AG16" s="32">
        <f t="shared" si="2"/>
        <v>0</v>
      </c>
      <c r="AM16" s="43">
        <v>0</v>
      </c>
      <c r="AN16" s="31">
        <v>0</v>
      </c>
      <c r="AO16" s="6">
        <f t="shared" si="0"/>
        <v>0</v>
      </c>
      <c r="AP16" s="32">
        <f t="shared" si="1"/>
        <v>0</v>
      </c>
    </row>
    <row r="17" spans="5:42" x14ac:dyDescent="0.3">
      <c r="E17" s="52" t="s">
        <v>47</v>
      </c>
      <c r="F17" s="52" t="str">
        <f>'D Actual'!F16</f>
        <v>Full</v>
      </c>
      <c r="G17" s="52">
        <f>IF(AND(F17="Slack",'D Actual'!G16="%"), 'D Actual'!H16, ('D Actual'!O16/TTHH!C53)*100)</f>
        <v>100</v>
      </c>
      <c r="H17" s="57" t="str" cm="1">
        <f t="array" ref="H17:H25">Interfaz!H180:H188</f>
        <v>Vacio</v>
      </c>
      <c r="I17" s="52" t="s">
        <v>352</v>
      </c>
      <c r="J17" s="60" cm="1">
        <f t="array" ref="J17:J25">Interfaz!I180:I188</f>
        <v>0</v>
      </c>
      <c r="K17" s="57" t="str" cm="1">
        <f t="array" ref="K17:K25">Interfaz!J180:J188</f>
        <v>Igual</v>
      </c>
      <c r="L17" s="60" cm="1">
        <f t="array" ref="L17:L25">Interfaz!K180:K188</f>
        <v>0</v>
      </c>
      <c r="M17" s="57" cm="1">
        <f t="array" ref="M17:M25">Interfaz!L180:L188</f>
        <v>0</v>
      </c>
      <c r="N17" s="57" cm="1">
        <f t="array" ref="N17:N25">Interfaz!M180:M188</f>
        <v>0</v>
      </c>
      <c r="O17" s="56">
        <f>IFERROR(IF(H17="Vacio",0,IF(H17="Full",P17*Q17,IF(H17="Slack",P17*Q17,0))),"Error")</f>
        <v>0</v>
      </c>
      <c r="P17" s="32">
        <f>IFERROR(IF(H17="Vacio",0,IF(H17="Full",TTHH!C53,IF(H17="Slack",TTHH!C53*J17/100,0))),"Error")</f>
        <v>0</v>
      </c>
      <c r="Q17" s="32">
        <f>IF(K17="Igual",$L$16,IF(K17="Distinta",IF(AND(M17="Tm",N17="m3"),L17,IF(AND(M17="Tm",N17="ft3"),L17/0.028316,IF(AND(M17="LT",N17="m3"),L17*1.01605,IF(AND(M17="LT",N17="ft3"),L17*(1.01605/0.028316),0))))))</f>
        <v>0.95</v>
      </c>
      <c r="Y17" s="52" t="s">
        <v>7</v>
      </c>
      <c r="Z17" s="56">
        <f ca="1"/>
        <v>6666.7965382446964</v>
      </c>
      <c r="AC17" s="44">
        <f>IF(U11&lt;&gt;"",Y11,R11)</f>
        <v>1.1892720000000001</v>
      </c>
      <c r="AD17" s="29" t="s">
        <v>488</v>
      </c>
      <c r="AE17" s="31">
        <f>IF(S21="A SAL (cm)",0,(-1)*AN56)</f>
        <v>0</v>
      </c>
      <c r="AF17" s="42">
        <f>AO56</f>
        <v>0</v>
      </c>
      <c r="AG17" s="32">
        <f t="shared" si="2"/>
        <v>0</v>
      </c>
      <c r="AM17" s="43">
        <v>0</v>
      </c>
      <c r="AN17" s="31">
        <v>0</v>
      </c>
      <c r="AO17" s="6">
        <f t="shared" si="0"/>
        <v>0</v>
      </c>
      <c r="AP17" s="32">
        <f t="shared" si="1"/>
        <v>0</v>
      </c>
    </row>
    <row r="18" spans="5:42" x14ac:dyDescent="0.3">
      <c r="E18" s="52" t="s">
        <v>48</v>
      </c>
      <c r="F18" s="52" t="str">
        <f>'D Actual'!F17</f>
        <v>Full</v>
      </c>
      <c r="G18" s="52">
        <f>IF(AND(F18="Slack",'D Actual'!G17="%"), 'D Actual'!H17, ('D Actual'!O17/TTHH!C54)*100)</f>
        <v>100</v>
      </c>
      <c r="H18" s="57" t="str">
        <v>Vacio</v>
      </c>
      <c r="I18" s="52" t="s">
        <v>352</v>
      </c>
      <c r="J18" s="60">
        <v>0</v>
      </c>
      <c r="K18" s="57" t="str">
        <v>Igual</v>
      </c>
      <c r="L18" s="60">
        <v>0</v>
      </c>
      <c r="M18" s="57">
        <v>0</v>
      </c>
      <c r="N18" s="57">
        <v>0</v>
      </c>
      <c r="O18" s="56">
        <f t="shared" ref="O18:O25" si="3">IFERROR(IF(H18="Vacio",0,IF(H18="Full",P18*Q18,IF(H18="Slack",P18*Q18,0))),"Error")</f>
        <v>0</v>
      </c>
      <c r="P18" s="32">
        <f>IFERROR(IF(H18="Vacio",0,IF(H18="Full",TTHH!C54,IF(H18="Slack",TTHH!C54*J18/100,0))),"Error")</f>
        <v>0</v>
      </c>
      <c r="Q18" s="32">
        <f t="shared" ref="Q18:Q25" si="4">IF(K18="Igual",$L$16,IF(K18="Distinta",IF(AND(M18="Tm",N18="m3"),L18,IF(AND(M18="Tm",N18="ft3"),L18/0.028316,IF(AND(M18="LT",N18="m3"),L18*1.01605,IF(AND(M18="LT",N18="ft3"),L18*(1.01605/0.028316),0))))))</f>
        <v>0.95</v>
      </c>
      <c r="S18" s="54" t="s">
        <v>480</v>
      </c>
      <c r="T18" s="56">
        <f ca="1">T16-T15</f>
        <v>7638.4190158324709</v>
      </c>
      <c r="Y18" s="52" t="s">
        <v>8</v>
      </c>
      <c r="Z18" s="56">
        <f ca="1"/>
        <v>11226.447776454837</v>
      </c>
      <c r="AC18" s="44">
        <f>IF(U12&lt;&gt;"",Y12,R12)</f>
        <v>1.18</v>
      </c>
      <c r="AF18" s="41"/>
      <c r="AM18" s="29" t="s">
        <v>482</v>
      </c>
      <c r="AN18" s="44">
        <f>SUM(_xlfn.ANCHORARRAY(AN9))</f>
        <v>510.9853339660466</v>
      </c>
      <c r="AO18" s="32">
        <f>IFERROR(AP18/AN18,0)</f>
        <v>18.196545901265864</v>
      </c>
      <c r="AP18" s="32">
        <f>SUM(AP9:AP17)</f>
        <v>9298.1680843868344</v>
      </c>
    </row>
    <row r="19" spans="5:42" x14ac:dyDescent="0.3">
      <c r="E19" s="52" t="s">
        <v>49</v>
      </c>
      <c r="F19" s="52" t="str">
        <f>'D Actual'!F18</f>
        <v>Slack</v>
      </c>
      <c r="G19" s="52">
        <f>IF(AND(F19="Slack",'D Actual'!G18="%"), 'D Actual'!H18, ('D Actual'!O18/TTHH!C55)*100)</f>
        <v>70</v>
      </c>
      <c r="H19" s="57" t="str">
        <v>Slack</v>
      </c>
      <c r="I19" s="52" t="s">
        <v>352</v>
      </c>
      <c r="J19" s="60">
        <v>70</v>
      </c>
      <c r="K19" s="57" t="str">
        <v>Igual</v>
      </c>
      <c r="L19" s="60">
        <v>0</v>
      </c>
      <c r="M19" s="57">
        <v>0</v>
      </c>
      <c r="N19" s="57">
        <v>0</v>
      </c>
      <c r="O19" s="56">
        <f t="shared" si="3"/>
        <v>354.57799999999997</v>
      </c>
      <c r="P19" s="32">
        <f>IFERROR(IF(H19="Vacio",0,IF(H19="Full",TTHH!C55,IF(H19="Slack",TTHH!C55*J19/100,0))),"Error")</f>
        <v>373.24</v>
      </c>
      <c r="Q19" s="32">
        <f t="shared" si="4"/>
        <v>0.95</v>
      </c>
      <c r="Y19" s="52" t="s">
        <v>9</v>
      </c>
      <c r="Z19" s="56">
        <f ca="1"/>
        <v>971.62247758777448</v>
      </c>
      <c r="AC19" s="44">
        <f>IF(U13&lt;&gt;"",Y13,R13)</f>
        <v>1.1892720000000001</v>
      </c>
      <c r="AD19" s="29" t="s">
        <v>484</v>
      </c>
      <c r="AE19" s="31">
        <f ca="1">IF(S21="A SAL (cm)",'D Máximos'!I13,IF('Carga y Reparto'!S21="A LLEG (cm)",'D Máximos'!Q13,0))</f>
        <v>53080.9</v>
      </c>
      <c r="AF19" s="42">
        <f ca="1">V23</f>
        <v>97.905258977953807</v>
      </c>
      <c r="AG19" s="32">
        <f ca="1">AE19*AF19</f>
        <v>5196899.2612828687</v>
      </c>
    </row>
    <row r="20" spans="5:42" x14ac:dyDescent="0.3">
      <c r="E20" s="52" t="s">
        <v>50</v>
      </c>
      <c r="F20" s="52">
        <f>'D Actual'!F19</f>
        <v>0</v>
      </c>
      <c r="G20" s="52">
        <f>IF(AND(F20="Slack",'D Actual'!G19="%"), 'D Actual'!H19, ('D Actual'!O19/TTHH!C56)*100)</f>
        <v>0</v>
      </c>
      <c r="H20" s="57" t="str">
        <v>Full</v>
      </c>
      <c r="I20" s="52" t="s">
        <v>352</v>
      </c>
      <c r="J20" s="60">
        <v>0</v>
      </c>
      <c r="K20" s="57" t="str">
        <v>Igual</v>
      </c>
      <c r="L20" s="60">
        <v>0</v>
      </c>
      <c r="M20" s="57">
        <v>0</v>
      </c>
      <c r="N20" s="57">
        <v>0</v>
      </c>
      <c r="O20" s="56">
        <f t="shared" si="3"/>
        <v>450.48999999999995</v>
      </c>
      <c r="P20" s="32">
        <f>IFERROR(IF(H20="Vacio",0,IF(H20="Full",TTHH!C56,IF(H20="Slack",TTHH!C56*J20/100,0))),"Error")</f>
        <v>474.2</v>
      </c>
      <c r="Q20" s="32">
        <f t="shared" si="4"/>
        <v>0.95</v>
      </c>
      <c r="S20" s="54" t="s">
        <v>497</v>
      </c>
      <c r="Y20" s="52" t="s">
        <v>10</v>
      </c>
      <c r="Z20" s="56">
        <f ca="1"/>
        <v>11154.218715314913</v>
      </c>
    </row>
    <row r="21" spans="5:42" x14ac:dyDescent="0.3">
      <c r="E21" s="52" t="s">
        <v>51</v>
      </c>
      <c r="F21" s="52" t="str">
        <f>'D Actual'!F20</f>
        <v>Full</v>
      </c>
      <c r="G21" s="52">
        <f>IF(AND(F21="Slack",'D Actual'!G20="%"), 'D Actual'!H20, ('D Actual'!O20/TTHH!C57)*100)</f>
        <v>100</v>
      </c>
      <c r="H21" s="57" t="str">
        <v>Full</v>
      </c>
      <c r="I21" s="52" t="s">
        <v>352</v>
      </c>
      <c r="J21" s="60">
        <v>0</v>
      </c>
      <c r="K21" s="57" t="str">
        <v>Igual</v>
      </c>
      <c r="L21" s="60">
        <v>0</v>
      </c>
      <c r="M21" s="57">
        <v>0</v>
      </c>
      <c r="N21" s="57">
        <v>0</v>
      </c>
      <c r="O21" s="56">
        <f t="shared" si="3"/>
        <v>42.94</v>
      </c>
      <c r="P21" s="32">
        <f>IFERROR(IF(H21="Vacio",0,IF(H21="Full",TTHH!C57,IF(H21="Slack",TTHH!C57*J21/100,0))),"Error")</f>
        <v>45.2</v>
      </c>
      <c r="Q21" s="32">
        <f t="shared" si="4"/>
        <v>0.95</v>
      </c>
      <c r="S21" s="57" t="s">
        <v>579</v>
      </c>
      <c r="T21" s="60">
        <f>Interfaz!F293</f>
        <v>0</v>
      </c>
      <c r="U21" s="57" t="str">
        <f>Interfaz!G293</f>
        <v>Aguas Iguales</v>
      </c>
      <c r="V21" s="32">
        <f>IF(U21="Aproante",T21*(-1),IF(U21="Apopante",T21,IF(U21="Aguas Iguales",0,"")))</f>
        <v>0</v>
      </c>
      <c r="AC21" s="29" t="s">
        <v>128</v>
      </c>
      <c r="AD21" s="29" t="s">
        <v>503</v>
      </c>
      <c r="AE21" s="29" t="s">
        <v>502</v>
      </c>
      <c r="AF21" s="29" t="s">
        <v>360</v>
      </c>
      <c r="AH21" s="29" t="s">
        <v>99</v>
      </c>
      <c r="AI21" s="29" t="s">
        <v>15</v>
      </c>
      <c r="AJ21" s="29" t="s">
        <v>383</v>
      </c>
      <c r="AL21" s="29" t="s">
        <v>15</v>
      </c>
      <c r="AM21" s="29" t="s">
        <v>483</v>
      </c>
      <c r="AN21" s="29" t="s">
        <v>99</v>
      </c>
      <c r="AO21" s="29" t="s">
        <v>15</v>
      </c>
      <c r="AP21" s="29" t="s">
        <v>383</v>
      </c>
    </row>
    <row r="22" spans="5:42" x14ac:dyDescent="0.3">
      <c r="E22" s="52" t="s">
        <v>52</v>
      </c>
      <c r="F22" s="52">
        <f>'D Actual'!F21</f>
        <v>0</v>
      </c>
      <c r="G22" s="52">
        <f>IF(AND(F22="Slack",'D Actual'!G21="%"), 'D Actual'!H21, ('D Actual'!O21/TTHH!C58)*100)</f>
        <v>0</v>
      </c>
      <c r="H22" s="57" t="str">
        <v>Vacio</v>
      </c>
      <c r="I22" s="52" t="s">
        <v>352</v>
      </c>
      <c r="J22" s="60">
        <v>0</v>
      </c>
      <c r="K22" s="57" t="str">
        <v>Igual</v>
      </c>
      <c r="L22" s="60">
        <v>0</v>
      </c>
      <c r="M22" s="57">
        <v>0</v>
      </c>
      <c r="N22" s="57">
        <v>0</v>
      </c>
      <c r="O22" s="56">
        <f t="shared" si="3"/>
        <v>0</v>
      </c>
      <c r="P22" s="32">
        <f>IFERROR(IF(H22="Vacio",0,IF(H22="Full",TTHH!C58,IF(H22="Slack",TTHH!C58*J22/100,0))),"Error")</f>
        <v>0</v>
      </c>
      <c r="Q22" s="32">
        <f t="shared" si="4"/>
        <v>0.95</v>
      </c>
      <c r="V22" s="29" t="s">
        <v>498</v>
      </c>
      <c r="AC22" s="44" t="str">
        <f>IFERROR(_xlfn.XLOOKUP(U9,$AG$23:$AG$24,$AH$23:$AH$24)*Y9,"")</f>
        <v/>
      </c>
      <c r="AD22" s="44">
        <f>IF(U9&lt;&gt;"",AC22/Y9,T9)</f>
        <v>10453.033452397769</v>
      </c>
      <c r="AE22" s="45" cm="1">
        <f t="array" ref="AE22:AE26">_xlfn.ANCHORARRAY(AE35)</f>
        <v>12431.5</v>
      </c>
      <c r="AF22" s="44">
        <f>IF(U9&lt;&gt;"",AC22,Q9)</f>
        <v>12431.5</v>
      </c>
      <c r="AG22" s="29" t="s">
        <v>478</v>
      </c>
      <c r="AH22" s="31">
        <f>T108</f>
        <v>45442.480984167531</v>
      </c>
      <c r="AI22" s="42">
        <f ca="1">W108</f>
        <v>93.740131508288613</v>
      </c>
      <c r="AJ22" s="32">
        <f ca="1">AH22*AI22</f>
        <v>4259784.1435187692</v>
      </c>
      <c r="AK22" s="29" t="s">
        <v>6</v>
      </c>
      <c r="AL22" s="32">
        <f ca="1">IFERROR(FORECAST(AF35, OFFSET(TTHH!$AA$10,MATCH(AF35,TTHH!$Y$10:$Y$99,-1)-1,0,2), OFFSET(TTHH!$Y$10,MATCH(AF35,TTHH!$Y$10:$Y$99,-1)-1,0,2)),0)</f>
        <v>158.59</v>
      </c>
      <c r="AM22" s="43" t="str" cm="1">
        <f t="array" ref="AM22:AM25">Consumos!E21:E24</f>
        <v>Service 1</v>
      </c>
      <c r="AN22" s="43" cm="1">
        <f t="array" ref="AN22:AN25">Consumos!J21:J24</f>
        <v>9</v>
      </c>
      <c r="AO22" s="6">
        <f>IFERROR(_xlfn.XLOOKUP(AM22,$AG$92:$AG$95,$AH$92:$AH$95),0)</f>
        <v>15.2</v>
      </c>
      <c r="AP22" s="32">
        <f>IFERROR(AN22*AO22,0)</f>
        <v>136.79999999999998</v>
      </c>
    </row>
    <row r="23" spans="5:42" x14ac:dyDescent="0.3">
      <c r="E23" s="52" t="s">
        <v>53</v>
      </c>
      <c r="F23" s="52" t="str">
        <f>'D Actual'!F22</f>
        <v>Full</v>
      </c>
      <c r="G23" s="52">
        <f>IF(AND(F23="Slack",'D Actual'!G22="%"), 'D Actual'!H22, ('D Actual'!O22/TTHH!C59)*100)</f>
        <v>100</v>
      </c>
      <c r="H23" s="57" t="str">
        <v>Full</v>
      </c>
      <c r="I23" s="52" t="s">
        <v>352</v>
      </c>
      <c r="J23" s="60">
        <v>0</v>
      </c>
      <c r="K23" s="57" t="str">
        <v>Igual</v>
      </c>
      <c r="L23" s="60">
        <v>0</v>
      </c>
      <c r="M23" s="57">
        <v>0</v>
      </c>
      <c r="N23" s="57">
        <v>0</v>
      </c>
      <c r="O23" s="56">
        <f t="shared" si="3"/>
        <v>42.94</v>
      </c>
      <c r="P23" s="32">
        <f>IFERROR(IF(H23="Vacio",0,IF(H23="Full",TTHH!C59,IF(H23="Slack",TTHH!C59*J23/100,0))),"Error")</f>
        <v>45.2</v>
      </c>
      <c r="Q23" s="32">
        <f t="shared" si="4"/>
        <v>0.95</v>
      </c>
      <c r="V23" s="32">
        <f ca="1">IF(S21="A SAL (cm)",'D Máximos'!I17-('Carga y Reparto'!V21*'D Máximos'!I19)/'D Máximos'!I13,IF('Carga y Reparto'!S21="A LLEG (cm)",'D Máximos'!Q17-('Carga y Reparto'!V21*'D Máximos'!Q19)/'D Máximos'!Q13))</f>
        <v>97.905258977953807</v>
      </c>
      <c r="AC23" s="44">
        <f ca="1">IFERROR(_xlfn.XLOOKUP(U10,$AG$23:$AG$24,$AH$23:$AH$24)*Y10,"")</f>
        <v>8493.9209094852049</v>
      </c>
      <c r="AD23" s="44">
        <f ca="1">IF(U10&lt;&gt;"",AC23/Y10,T10)</f>
        <v>6665.9767618505466</v>
      </c>
      <c r="AE23" s="45">
        <v>13349.5</v>
      </c>
      <c r="AF23" s="44">
        <f ca="1">IF(U10&lt;&gt;"",AC23,Q10)</f>
        <v>8493.9209094852049</v>
      </c>
      <c r="AG23" s="29" t="str" cm="1">
        <f t="array" ref="AG23">INDEX(_xlfn._xlws.FILTER($U$9:$U$13, $U$9:$U$13&lt;&gt;""), 1)</f>
        <v>B2</v>
      </c>
      <c r="AH23" s="44">
        <f ca="1">((AJ32 - (AJ22 + SUM(AJ25:AJ30))) - ((AH32 - (AH22 + SUM(AH25:AH30))) * AI24)) / (AI23 - AI24)</f>
        <v>6665.9767618505466</v>
      </c>
      <c r="AI23" s="7">
        <f ca="1">VLOOKUP(AG23, $AK$22:$AL$26, 2, FALSE)</f>
        <v>130.02000000000001</v>
      </c>
      <c r="AJ23" s="32">
        <f ca="1">AH23*AI23</f>
        <v>866710.29857580818</v>
      </c>
      <c r="AK23" s="29" t="s">
        <v>7</v>
      </c>
      <c r="AL23" s="32">
        <f ca="1">IFERROR(FORECAST(AF36, OFFSET(TTHH!$AH$10,MATCH(AF36,TTHH!$AF$10:$AF$100,-1)-1,0,2), OFFSET(TTHH!$AF$10,MATCH(AF36,TTHH!$AF$10:$AF$100,-1)-1,0,2)),0)</f>
        <v>130.02000000000001</v>
      </c>
      <c r="AM23" s="43" t="str">
        <v>Service 2</v>
      </c>
      <c r="AN23" s="43">
        <v>15</v>
      </c>
      <c r="AO23" s="6">
        <f>IFERROR(_xlfn.XLOOKUP(AM23,$AG$92:$AG$95,$AH$92:$AH$95),0)</f>
        <v>12</v>
      </c>
      <c r="AP23" s="32">
        <f>IFERROR(AN23*AO23,0)</f>
        <v>180</v>
      </c>
    </row>
    <row r="24" spans="5:42" x14ac:dyDescent="0.3">
      <c r="E24" s="52" t="s">
        <v>54</v>
      </c>
      <c r="F24" s="52" t="str">
        <f>'D Actual'!F23</f>
        <v>Slack</v>
      </c>
      <c r="G24" s="52">
        <f>IF(AND(F24="Slack",'D Actual'!G23="%"), 'D Actual'!H23, ('D Actual'!O23/TTHH!C60)*100)</f>
        <v>20</v>
      </c>
      <c r="H24" s="57" t="str">
        <v>Slack</v>
      </c>
      <c r="I24" s="52" t="s">
        <v>352</v>
      </c>
      <c r="J24" s="60">
        <v>20</v>
      </c>
      <c r="K24" s="57" t="str">
        <v>Igual</v>
      </c>
      <c r="L24" s="60">
        <v>0</v>
      </c>
      <c r="M24" s="57">
        <v>0</v>
      </c>
      <c r="N24" s="57">
        <v>0</v>
      </c>
      <c r="O24" s="56">
        <f t="shared" si="3"/>
        <v>8.5879999999999992</v>
      </c>
      <c r="P24" s="32">
        <f>IFERROR(IF(H24="Vacio",0,IF(H24="Full",TTHH!C60,IF(H24="Slack",TTHH!C60*J24/100,0))),"Error")</f>
        <v>9.0399999999999991</v>
      </c>
      <c r="Q24" s="32">
        <f t="shared" si="4"/>
        <v>0.95</v>
      </c>
      <c r="AC24" s="44" t="str">
        <f>IFERROR(_xlfn.XLOOKUP(U11,$AG$23:$AG$24,$AH$23:$AH$24)*Y11,"")</f>
        <v/>
      </c>
      <c r="AD24" s="44">
        <f>IF(U11&lt;&gt;"",AC24/Y11,T11)</f>
        <v>11226.447776454837</v>
      </c>
      <c r="AE24" s="45">
        <v>13351.3</v>
      </c>
      <c r="AF24" s="44">
        <f>IF(U11&lt;&gt;"",AC24,Q11)</f>
        <v>13351.3</v>
      </c>
      <c r="AG24" s="29" t="str" cm="1">
        <f t="array" ref="AG24">INDEX(_xlfn._xlws.FILTER($U$9:$U$13, $U$9:$U$13&lt;&gt;""), 2)</f>
        <v>B4</v>
      </c>
      <c r="AH24" s="44">
        <f ca="1">(AH32 - (AH22 + SUM(AH25:AH30))) - AH23</f>
        <v>972.4422539819243</v>
      </c>
      <c r="AI24" s="7">
        <f ca="1">VLOOKUP(AG24, $AK$22:$AL$26, 2, FALSE)</f>
        <v>72.400000000000006</v>
      </c>
      <c r="AJ24" s="32">
        <f ca="1">AH24*AI24</f>
        <v>70404.819188291323</v>
      </c>
      <c r="AK24" s="29" t="s">
        <v>8</v>
      </c>
      <c r="AL24" s="32">
        <f ca="1">IFERROR(FORECAST(AF37, OFFSET(TTHH!$AO$10,MATCH(AF37,TTHH!$AM$10:$AM$100,-1)-1,0,2), OFFSET(TTHH!$AM$10,MATCH(AF37,TTHH!$AM$10:$AM$100,-1)-1,0,2)),0)</f>
        <v>101.22</v>
      </c>
      <c r="AM24" s="43" t="str">
        <v>Deep S</v>
      </c>
      <c r="AN24" s="43">
        <v>27.098533396604658</v>
      </c>
      <c r="AO24" s="6">
        <f>IFERROR(_xlfn.XLOOKUP(AM24,$AG$92:$AG$95,$AH$92:$AH$95),0)</f>
        <v>14.2</v>
      </c>
      <c r="AP24" s="32">
        <f>IFERROR(AN24*AO24,0)</f>
        <v>384.79917423178614</v>
      </c>
    </row>
    <row r="25" spans="5:42" x14ac:dyDescent="0.3">
      <c r="E25" s="52" t="s">
        <v>55</v>
      </c>
      <c r="F25" s="52" t="str">
        <f>'D Actual'!F24</f>
        <v>Slack</v>
      </c>
      <c r="G25" s="52">
        <f>IF(AND(F25="Slack",'D Actual'!G24="%"), 'D Actual'!H24, ('D Actual'!O24/TTHH!C61)*100)</f>
        <v>12</v>
      </c>
      <c r="H25" s="57" t="str">
        <v>Slack</v>
      </c>
      <c r="I25" s="52" t="s">
        <v>352</v>
      </c>
      <c r="J25" s="60">
        <v>12</v>
      </c>
      <c r="K25" s="57" t="str">
        <v>Igual</v>
      </c>
      <c r="L25" s="60">
        <v>0</v>
      </c>
      <c r="M25" s="57">
        <v>0</v>
      </c>
      <c r="N25" s="57">
        <v>0</v>
      </c>
      <c r="O25" s="56">
        <f t="shared" si="3"/>
        <v>4.3890000000000002</v>
      </c>
      <c r="P25" s="32">
        <f>IFERROR(IF(H25="Vacio",0,IF(H25="Full",TTHH!C61,IF(H25="Slack",TTHH!C61*J25/100,0))),"Error")</f>
        <v>4.62</v>
      </c>
      <c r="Q25" s="32">
        <f t="shared" si="4"/>
        <v>0.95</v>
      </c>
      <c r="AC25" s="44">
        <f ca="1">IFERROR(_xlfn.XLOOKUP(U12,$AG$23:$AG$24,$AH$23:$AH$24)*Y12,"")</f>
        <v>1147.4818596986706</v>
      </c>
      <c r="AD25" s="44">
        <f ca="1">IF(U12&lt;&gt;"",AC25/Y12,T12)</f>
        <v>972.4422539819243</v>
      </c>
      <c r="AE25" s="45">
        <v>13349.6</v>
      </c>
      <c r="AF25" s="44">
        <f ca="1">IF(U12&lt;&gt;"",AC25,Q12)</f>
        <v>1147.4818596986706</v>
      </c>
      <c r="AG25" s="29" t="s">
        <v>482</v>
      </c>
      <c r="AH25" s="31">
        <f>IF(S21="A SAL (cm)",0,(-1)*AN18)</f>
        <v>0</v>
      </c>
      <c r="AI25" s="42">
        <f>AO18</f>
        <v>18.196545901265864</v>
      </c>
      <c r="AJ25" s="32">
        <f t="shared" ref="AJ25:AJ30" si="5">AH25*AI25</f>
        <v>0</v>
      </c>
      <c r="AK25" s="29" t="s">
        <v>9</v>
      </c>
      <c r="AL25" s="32">
        <f ca="1">IFERROR(FORECAST(AF38, OFFSET(TTHH!$AV$10,MATCH(AF38,TTHH!$AT$10:$AT$100,-1)-1,0,2), OFFSET(TTHH!$AT$10,MATCH(AF38,TTHH!$AT$10:$AT$100,-1)-1,0,2)),0)</f>
        <v>72.400000000000006</v>
      </c>
      <c r="AM25" s="43">
        <v>0</v>
      </c>
      <c r="AN25" s="43">
        <v>0</v>
      </c>
      <c r="AO25" s="6">
        <f>IFERROR(_xlfn.XLOOKUP(AM25,$AG$92:$AG$95,$AH$92:$AH$95),0)</f>
        <v>0</v>
      </c>
      <c r="AP25" s="32">
        <f>IFERROR(AN25*AO25,0)</f>
        <v>0</v>
      </c>
    </row>
    <row r="26" spans="5:42" x14ac:dyDescent="0.3">
      <c r="AC26" s="44" t="str">
        <f>IFERROR(_xlfn.XLOOKUP(U13,$AG$23:$AG$24,$AH$23:$AH$24)*Y13,"")</f>
        <v/>
      </c>
      <c r="AD26" s="44">
        <f>IF(U13&lt;&gt;"",AC26/Y13,T13)</f>
        <v>11154.218715314913</v>
      </c>
      <c r="AE26" s="45">
        <v>13265.4</v>
      </c>
      <c r="AF26" s="44">
        <f>IF(U13&lt;&gt;"",AC26,Q13)</f>
        <v>13265.4</v>
      </c>
      <c r="AG26" s="29" t="s">
        <v>483</v>
      </c>
      <c r="AH26" s="31">
        <f>IF(S21="A SAL (cm)",0,(-1)*AN26)</f>
        <v>0</v>
      </c>
      <c r="AI26" s="42">
        <f>AO26</f>
        <v>13.730319200871726</v>
      </c>
      <c r="AJ26" s="32">
        <f t="shared" si="5"/>
        <v>0</v>
      </c>
      <c r="AK26" s="29" t="s">
        <v>10</v>
      </c>
      <c r="AL26" s="32">
        <f ca="1">IFERROR(FORECAST(AF39, OFFSET(TTHH!$BC$10,MATCH(AF39,TTHH!$BA$10:$BA$100,-1)-1,0,2), OFFSET(TTHH!$BA$10,MATCH(AF39,TTHH!$BA$10:$BA$100,-1)-1,0,2)),0)</f>
        <v>43.26</v>
      </c>
      <c r="AM26" s="29" t="s">
        <v>483</v>
      </c>
      <c r="AN26" s="32">
        <f>SUM(_xlfn.ANCHORARRAY(AN22))</f>
        <v>51.098533396604658</v>
      </c>
      <c r="AO26" s="32">
        <f>IFERROR(AP26/AN26,0)</f>
        <v>13.730319200871726</v>
      </c>
      <c r="AP26" s="32">
        <f>SUM(AP22:AP25)</f>
        <v>701.59917423178604</v>
      </c>
    </row>
    <row r="27" spans="5:42" x14ac:dyDescent="0.3">
      <c r="AC27" s="28"/>
      <c r="AG27" s="29" t="s">
        <v>485</v>
      </c>
      <c r="AH27" s="31">
        <f>IF(S21="A SAL (cm)",0,AN40*(-1))</f>
        <v>0</v>
      </c>
      <c r="AI27" s="42">
        <f>AO40</f>
        <v>9.005757735924675</v>
      </c>
      <c r="AJ27" s="32">
        <f t="shared" si="5"/>
        <v>0</v>
      </c>
    </row>
    <row r="28" spans="5:42" x14ac:dyDescent="0.3">
      <c r="E28" s="54" t="s">
        <v>57</v>
      </c>
      <c r="F28" s="52" t="s">
        <v>464</v>
      </c>
      <c r="G28" s="52" t="s">
        <v>465</v>
      </c>
      <c r="H28" s="52" t="s">
        <v>362</v>
      </c>
      <c r="I28" s="52"/>
      <c r="J28" s="52" t="s">
        <v>352</v>
      </c>
      <c r="K28" s="52" t="s">
        <v>359</v>
      </c>
      <c r="L28" s="52">
        <f>'D Actual'!K27</f>
        <v>0.85</v>
      </c>
      <c r="M28" s="52"/>
      <c r="N28" s="52"/>
      <c r="O28" s="52" t="s">
        <v>469</v>
      </c>
      <c r="P28" s="29" t="s">
        <v>360</v>
      </c>
      <c r="Q28" s="29" t="s">
        <v>359</v>
      </c>
      <c r="AG28" s="29" t="s">
        <v>486</v>
      </c>
      <c r="AH28" s="31">
        <f>IF(S21="A SAL (cm)",0,(-1)*AN47)</f>
        <v>0</v>
      </c>
      <c r="AI28" s="42">
        <f>AO47</f>
        <v>0</v>
      </c>
      <c r="AJ28" s="32">
        <f t="shared" si="5"/>
        <v>0</v>
      </c>
    </row>
    <row r="29" spans="5:42" x14ac:dyDescent="0.3">
      <c r="E29" s="52" t="s">
        <v>58</v>
      </c>
      <c r="F29" s="52">
        <f>'D Actual'!F28</f>
        <v>0</v>
      </c>
      <c r="G29" s="52">
        <f>IF(AND(F29="Slack",'D Actual'!G28="%"), 'D Actual'!H28, ('D Actual'!O28/TTHH!C69)*100)</f>
        <v>0</v>
      </c>
      <c r="H29" s="57" t="str" cm="1">
        <f t="array" ref="H29:H32">Interfaz!H191:H194</f>
        <v>Full</v>
      </c>
      <c r="I29" s="52" t="s">
        <v>352</v>
      </c>
      <c r="J29" s="60" cm="1">
        <f t="array" ref="J29:J32">Interfaz!I191:I194</f>
        <v>0</v>
      </c>
      <c r="K29" s="57" t="str" cm="1">
        <f t="array" ref="K29:K32">Interfaz!J191:J194</f>
        <v>Igual</v>
      </c>
      <c r="L29" s="60" cm="1">
        <f t="array" ref="L29:L32">Interfaz!K191:K194</f>
        <v>0</v>
      </c>
      <c r="M29" s="57" cm="1">
        <f t="array" ref="M29:M32">Interfaz!L191:L194</f>
        <v>0</v>
      </c>
      <c r="N29" s="57" cm="1">
        <f t="array" ref="N29:N32">Interfaz!M191:M194</f>
        <v>0</v>
      </c>
      <c r="O29" s="56">
        <f>IFERROR(IF(H29="Vacio",0,IF(H29="Full",P29*Q29,IF(H29="Slack",P29*Q29,0))),"Error")</f>
        <v>141.52500000000001</v>
      </c>
      <c r="P29" s="32">
        <f>IFERROR(IF(H29="Vacio",0,IF(H29="Full",TTHH!C69,IF(H29="Slack",TTHH!C69*J29/100,0))),"Error")</f>
        <v>166.5</v>
      </c>
      <c r="Q29" s="32">
        <f>IF(K29="Igual",$L$28,IF(K29="Distinta",IF(AND(M29="Tm",N29="m3"),L29,IF(AND(M29="Tm",N29="m3"),L29,IF(AND(M29="Tm",N29="ft3"),L29/0.028316,IF(AND(M29="LT",N29="m3"),L29*1.01605,IF(AND(M29="LT",N29="ft3"),L29*(1.01605/0.028316),0)))))))</f>
        <v>0.85</v>
      </c>
      <c r="AG29" s="29" t="s">
        <v>487</v>
      </c>
      <c r="AH29" s="31">
        <f>IF(S21="A SAL (cm)",0,(-1)*AN62)</f>
        <v>0</v>
      </c>
      <c r="AI29" s="42">
        <f>AO62</f>
        <v>-0.81</v>
      </c>
      <c r="AJ29" s="32">
        <f t="shared" si="5"/>
        <v>0</v>
      </c>
      <c r="AM29" s="29" t="s">
        <v>485</v>
      </c>
      <c r="AN29" s="29" t="s">
        <v>99</v>
      </c>
      <c r="AO29" s="29" t="s">
        <v>15</v>
      </c>
      <c r="AP29" s="29" t="s">
        <v>383</v>
      </c>
    </row>
    <row r="30" spans="5:42" x14ac:dyDescent="0.3">
      <c r="E30" s="52" t="s">
        <v>59</v>
      </c>
      <c r="F30" s="52" t="str">
        <f>'D Actual'!F29</f>
        <v>Slack</v>
      </c>
      <c r="G30" s="52">
        <f>IF(AND(F30="Slack",'D Actual'!G29="%"), 'D Actual'!H29, ('D Actual'!O29/TTHH!C70)*100)</f>
        <v>80</v>
      </c>
      <c r="H30" s="57" t="str">
        <v>Slack</v>
      </c>
      <c r="I30" s="52" t="s">
        <v>352</v>
      </c>
      <c r="J30" s="60">
        <v>65</v>
      </c>
      <c r="K30" s="57" t="str">
        <v>Igual</v>
      </c>
      <c r="L30" s="60">
        <v>0</v>
      </c>
      <c r="M30" s="57">
        <v>0</v>
      </c>
      <c r="N30" s="57">
        <v>0</v>
      </c>
      <c r="O30" s="56">
        <f>IFERROR(IF(H30="Vacio",0,IF(H30="Full",P30*Q30,IF(H30="Slack",P30*Q30,0))),"Error")</f>
        <v>12.486499999999999</v>
      </c>
      <c r="P30" s="32">
        <f>IFERROR(IF(H30="Vacio",0,IF(H30="Full",TTHH!C70,IF(H30="Slack",TTHH!C70*J30/100,0))),"Error")</f>
        <v>14.69</v>
      </c>
      <c r="Q30" s="32">
        <f>IF(K30="Igual",$L$28,IF(K30="Distinta",IF(AND(M30="Tm",N30="m3"),L30,IF(AND(M30="Tm",N30="m3"),L30,IF(AND(M30="Tm",N30="ft3"),L30/0.028316,IF(AND(M30="LT",N30="m3"),L30*1.01605,IF(AND(M30="LT",N30="ft3"),L30*(1.01605/0.028316),0)))))))</f>
        <v>0.85</v>
      </c>
      <c r="AG30" s="29" t="s">
        <v>488</v>
      </c>
      <c r="AH30" s="31">
        <f>IF(S21="A SAL (cm)",0,(-1)*AN56)</f>
        <v>0</v>
      </c>
      <c r="AI30" s="42">
        <f>AO56</f>
        <v>0</v>
      </c>
      <c r="AJ30" s="32">
        <f t="shared" si="5"/>
        <v>0</v>
      </c>
      <c r="AM30" s="43" t="str" cm="1">
        <f t="array" ref="AM30:AM39">Consumos!P9:P18</f>
        <v>Cyl 1</v>
      </c>
      <c r="AN30" s="43" cm="1">
        <f t="array" ref="AN30:AN39">Consumos!U9:U18</f>
        <v>8.5</v>
      </c>
      <c r="AO30" s="6">
        <f>IFERROR(_xlfn.XLOOKUP(AM30,'Carga y Reparto'!$AJ$92:$AJ$101,'Carga y Reparto'!$AK$92:$AK$101),0)</f>
        <v>8.4</v>
      </c>
      <c r="AP30" s="32">
        <f>IFERROR(AN30*AO30,0)</f>
        <v>71.400000000000006</v>
      </c>
    </row>
    <row r="31" spans="5:42" x14ac:dyDescent="0.3">
      <c r="E31" s="52" t="s">
        <v>60</v>
      </c>
      <c r="F31" s="52">
        <f>'D Actual'!F30</f>
        <v>0</v>
      </c>
      <c r="G31" s="52">
        <f>IF(AND(F31="Slack",'D Actual'!G30="%"), 'D Actual'!H30, ('D Actual'!O30/TTHH!C71)*100)</f>
        <v>0</v>
      </c>
      <c r="H31" s="57" t="str">
        <v>Full</v>
      </c>
      <c r="I31" s="52" t="s">
        <v>352</v>
      </c>
      <c r="J31" s="60">
        <v>0</v>
      </c>
      <c r="K31" s="57" t="str">
        <v>Distinta</v>
      </c>
      <c r="L31" s="60">
        <v>0.87</v>
      </c>
      <c r="M31" s="57" t="str">
        <v>Tm</v>
      </c>
      <c r="N31" s="57" t="str">
        <v>m3</v>
      </c>
      <c r="O31" s="56">
        <f>IFERROR(IF(H31="Vacio",0,IF(H31="Full",P31*Q31,IF(H31="Slack",P31*Q31,0))),"Error")</f>
        <v>19.662000000000003</v>
      </c>
      <c r="P31" s="32">
        <f>IFERROR(IF(H31="Vacio",0,IF(H31="Full",TTHH!C71,IF(H31="Slack",TTHH!C71*J31/100,0))),"Error")</f>
        <v>22.6</v>
      </c>
      <c r="Q31" s="32">
        <f>IF(K31="Igual",$L$28,IF(K31="Distinta",IF(AND(M31="Tm",N31="m3"),L31,IF(AND(M31="Tm",N31="m3"),L31,IF(AND(M31="Tm",N31="ft3"),L31/0.028316,IF(AND(M31="LT",N31="m3"),L31*1.01605,IF(AND(M31="LT",N31="ft3"),L31*(1.01605/0.028316),0)))))))</f>
        <v>0.87</v>
      </c>
      <c r="AI31" s="41"/>
      <c r="AM31" s="43" t="str">
        <v>Cyl 2</v>
      </c>
      <c r="AN31" s="43">
        <v>8.5</v>
      </c>
      <c r="AO31" s="6">
        <f>IFERROR(_xlfn.XLOOKUP(AM31,'Carga y Reparto'!$AJ$92:$AJ$101,'Carga y Reparto'!$AK$92:$AK$101),0)</f>
        <v>9.6199999999999992</v>
      </c>
      <c r="AP31" s="32">
        <f t="shared" ref="AP31:AP39" si="6">IFERROR(AN31*AO31,0)</f>
        <v>81.77</v>
      </c>
    </row>
    <row r="32" spans="5:42" x14ac:dyDescent="0.3">
      <c r="E32" s="52" t="s">
        <v>61</v>
      </c>
      <c r="F32" s="52" t="str">
        <f>'D Actual'!F31</f>
        <v>Slack</v>
      </c>
      <c r="G32" s="52">
        <f>IF(AND(F32="Slack",'D Actual'!G31="%"), 'D Actual'!H31, ('D Actual'!O31/TTHH!C72)*100)</f>
        <v>18</v>
      </c>
      <c r="H32" s="57" t="str">
        <v>Slack</v>
      </c>
      <c r="I32" s="52" t="s">
        <v>352</v>
      </c>
      <c r="J32" s="60">
        <v>18</v>
      </c>
      <c r="K32" s="57" t="str">
        <v>Igual</v>
      </c>
      <c r="L32" s="60">
        <v>0</v>
      </c>
      <c r="M32" s="57">
        <v>0</v>
      </c>
      <c r="N32" s="57">
        <v>0</v>
      </c>
      <c r="O32" s="56">
        <f>IFERROR(IF(H32="Vacio",0,IF(H32="Full",P32*Q32,IF(H32="Slack",P32*Q32,0))),"Error")</f>
        <v>3.4578000000000002</v>
      </c>
      <c r="P32" s="32">
        <f>IFERROR(IF(H32="Vacio",0,IF(H32="Full",TTHH!C72,IF(H32="Slack",TTHH!C72*J32/100,0))),"Error")</f>
        <v>4.0680000000000005</v>
      </c>
      <c r="Q32" s="32">
        <f>IF(K32="Igual",$L$28,IF(K32="Distinta",IF(AND(M32="Tm",N32="m3"),L32,IF(AND(M32="Tm",N32="m3"),L32,IF(AND(M32="Tm",N32="ft3"),L32/0.028316,IF(AND(M32="LT",N32="m3"),L32*1.01605,IF(AND(M32="LT",N32="ft3"),L32*(1.01605/0.028316),0)))))))</f>
        <v>0.85</v>
      </c>
      <c r="AG32" s="29" t="s">
        <v>484</v>
      </c>
      <c r="AH32" s="31">
        <f ca="1">IF(S21="A SAL (cm)",'D Máximos'!I13,IF('Carga y Reparto'!S21="A LLEG (cm)",'D Máximos'!Q13,0))</f>
        <v>53080.9</v>
      </c>
      <c r="AI32" s="42">
        <f ca="1">V23</f>
        <v>97.905258977953807</v>
      </c>
      <c r="AJ32" s="32">
        <f ca="1">AH32*AI32</f>
        <v>5196899.2612828687</v>
      </c>
      <c r="AM32" s="43" t="str">
        <v>Store 1</v>
      </c>
      <c r="AN32" s="43">
        <v>3.2844465534886069E-2</v>
      </c>
      <c r="AO32" s="6">
        <f>IFERROR(_xlfn.XLOOKUP(AM32,'Carga y Reparto'!$AJ$92:$AJ$101,'Carga y Reparto'!$AK$92:$AK$101),0)</f>
        <v>6.81</v>
      </c>
      <c r="AP32" s="32">
        <f t="shared" si="6"/>
        <v>0.22367081029257413</v>
      </c>
    </row>
    <row r="33" spans="5:42" x14ac:dyDescent="0.3">
      <c r="S33" s="54" t="s">
        <v>11</v>
      </c>
      <c r="T33" s="52" t="s">
        <v>3</v>
      </c>
      <c r="U33" s="52" t="s">
        <v>17</v>
      </c>
      <c r="V33" s="52" t="s">
        <v>382</v>
      </c>
      <c r="W33" s="52" t="s">
        <v>15</v>
      </c>
      <c r="X33" s="52" t="s">
        <v>383</v>
      </c>
      <c r="Y33" s="52" t="s">
        <v>16</v>
      </c>
      <c r="Z33" s="52" t="s">
        <v>384</v>
      </c>
      <c r="AA33" s="52" t="s">
        <v>4</v>
      </c>
      <c r="AM33" s="43">
        <v>0</v>
      </c>
      <c r="AN33" s="43">
        <v>0</v>
      </c>
      <c r="AO33" s="6">
        <f>IFERROR(_xlfn.XLOOKUP(AM33,'Carga y Reparto'!$AJ$92:$AJ$101,'Carga y Reparto'!$AK$92:$AK$101),0)</f>
        <v>0</v>
      </c>
      <c r="AP33" s="32">
        <f t="shared" si="6"/>
        <v>0</v>
      </c>
    </row>
    <row r="34" spans="5:42" x14ac:dyDescent="0.3">
      <c r="S34" s="52" t="s">
        <v>6</v>
      </c>
      <c r="T34" s="56" cm="1">
        <f t="array" ref="T34:T38">P9:P13</f>
        <v>10453.033452397769</v>
      </c>
      <c r="U34" s="56">
        <f ca="1">IFERROR(FORECAST(P9, OFFSET(TTHH!$AB$10, MATCH(P9,TTHH!$Y$10:$Y$99,-1)-1, 0, 2), OFFSET(TTHH!$Y$10, MATCH(P9,TTHH!$Y$10:$Y$99,-1)-1, 0, 2)),0)</f>
        <v>8.7494665308385215</v>
      </c>
      <c r="V34" s="56">
        <f ca="1">T34*U34</f>
        <v>91458.466337489721</v>
      </c>
      <c r="W34" s="56">
        <f ca="1">IFERROR(FORECAST(P9, OFFSET(TTHH!$AA$10,MATCH(P9,TTHH!$Y$10:$Y$99,-1)-1,0,2), OFFSET(TTHH!$Y$10,MATCH(P9,TTHH!$Y$10:$Y$99,-1)-1,0,2)),0)</f>
        <v>158.72</v>
      </c>
      <c r="X34" s="56">
        <f ca="1">T34*W34</f>
        <v>1659105.4695645738</v>
      </c>
      <c r="Y34" s="52" cm="1">
        <f t="array" ref="Y34:Y38">_xlfn.ANCHORARRAY('Condición Actual'!Z11)</f>
        <v>0</v>
      </c>
      <c r="Z34" s="56">
        <f>T34*Y34</f>
        <v>0</v>
      </c>
      <c r="AA34" s="18"/>
      <c r="AC34" s="29" t="s">
        <v>128</v>
      </c>
      <c r="AD34" s="29" t="s">
        <v>503</v>
      </c>
      <c r="AE34" s="29" t="s">
        <v>502</v>
      </c>
      <c r="AF34" s="29" t="s">
        <v>360</v>
      </c>
      <c r="AH34" s="29" t="s">
        <v>99</v>
      </c>
      <c r="AI34" s="29" t="s">
        <v>15</v>
      </c>
      <c r="AJ34" s="29" t="s">
        <v>383</v>
      </c>
      <c r="AL34" s="29" t="s">
        <v>15</v>
      </c>
      <c r="AM34" s="43">
        <v>0</v>
      </c>
      <c r="AN34" s="43">
        <v>0</v>
      </c>
      <c r="AO34" s="6">
        <f>IFERROR(_xlfn.XLOOKUP(AM34,'Carga y Reparto'!$AJ$92:$AJ$101,'Carga y Reparto'!$AK$92:$AK$101),0)</f>
        <v>0</v>
      </c>
      <c r="AP34" s="32">
        <f t="shared" si="6"/>
        <v>0</v>
      </c>
    </row>
    <row r="35" spans="5:42" x14ac:dyDescent="0.3">
      <c r="E35" s="54" t="s">
        <v>19</v>
      </c>
      <c r="F35" s="52" t="s">
        <v>464</v>
      </c>
      <c r="G35" s="52" t="s">
        <v>465</v>
      </c>
      <c r="H35" s="52" t="s">
        <v>362</v>
      </c>
      <c r="I35" s="52"/>
      <c r="J35" s="52" t="s">
        <v>352</v>
      </c>
      <c r="K35" s="52" t="s">
        <v>359</v>
      </c>
      <c r="L35" s="52">
        <f>'D Actual'!V7</f>
        <v>1.0249999999999999</v>
      </c>
      <c r="M35" s="52"/>
      <c r="N35" s="52"/>
      <c r="O35" s="52" t="s">
        <v>469</v>
      </c>
      <c r="P35" s="29" t="s">
        <v>360</v>
      </c>
      <c r="Q35" s="29" t="s">
        <v>359</v>
      </c>
      <c r="S35" s="52" t="s">
        <v>7</v>
      </c>
      <c r="T35" s="56">
        <v>0</v>
      </c>
      <c r="U35" s="56">
        <f ca="1">IFERROR(FORECAST(P10, OFFSET(TTHH!$AI$10,MATCH(P10,TTHH!$AF$10:$AF$100,-1)-1,0,2), OFFSET(TTHH!$AF$10,MATCH(P10,TTHH!$AF$10:$AF$100,-1)-1,0,2)),0)</f>
        <v>0</v>
      </c>
      <c r="V35" s="56">
        <f ca="1">T35*U35</f>
        <v>0</v>
      </c>
      <c r="W35" s="56">
        <f ca="1">IFERROR(FORECAST(P10, OFFSET(TTHH!$AH$10,MATCH(P10,TTHH!$AF$10:$AF$100,-1)-1,0,2), OFFSET(TTHH!$AF$10,MATCH(P10,TTHH!$AF$10:$AF$100,-1)-1,0,2)),0)</f>
        <v>0</v>
      </c>
      <c r="X35" s="56">
        <f ca="1">T35*W35</f>
        <v>0</v>
      </c>
      <c r="Y35" s="52">
        <v>0</v>
      </c>
      <c r="Z35" s="56">
        <f>T35*Y35</f>
        <v>0</v>
      </c>
      <c r="AA35" s="18"/>
      <c r="AC35" s="44" t="str">
        <f>IFERROR(_xlfn.XLOOKUP(U9,$AG$36:$AG$37,$AH$36:$AH$37)*Y9,"")</f>
        <v/>
      </c>
      <c r="AD35" s="44">
        <f>IF(U9&lt;&gt;"",AC35/Y9,T9)</f>
        <v>10453.033452397769</v>
      </c>
      <c r="AE35" s="45" cm="1">
        <f t="array" ref="AE35:AE39">_xlfn.ANCHORARRAY(AE48)</f>
        <v>12431.5</v>
      </c>
      <c r="AF35" s="44">
        <f>IF(U9&lt;&gt;"",AC35,Q9)</f>
        <v>12431.5</v>
      </c>
      <c r="AG35" s="29" t="s">
        <v>478</v>
      </c>
      <c r="AH35" s="31">
        <f>T108</f>
        <v>45442.480984167531</v>
      </c>
      <c r="AI35" s="42">
        <f ca="1">W108</f>
        <v>93.740131508288613</v>
      </c>
      <c r="AJ35" s="32">
        <f ca="1">AH35*AI35</f>
        <v>4259784.1435187692</v>
      </c>
      <c r="AK35" s="29" t="s">
        <v>6</v>
      </c>
      <c r="AL35" s="32">
        <f ca="1">IFERROR(FORECAST(AF48, OFFSET(TTHH!$AA$10,MATCH(AF48,TTHH!$Y$10:$Y$99,-1)-1,0,2), OFFSET(TTHH!$Y$10,MATCH(AF48,TTHH!$Y$10:$Y$99,-1)-1,0,2)),0)</f>
        <v>158.59</v>
      </c>
      <c r="AM35" s="43">
        <v>0</v>
      </c>
      <c r="AN35" s="43">
        <v>0</v>
      </c>
      <c r="AO35" s="6">
        <f>IFERROR(_xlfn.XLOOKUP(AM35,'Carga y Reparto'!$AJ$92:$AJ$101,'Carga y Reparto'!$AK$92:$AK$101),0)</f>
        <v>0</v>
      </c>
      <c r="AP35" s="32">
        <f t="shared" si="6"/>
        <v>0</v>
      </c>
    </row>
    <row r="36" spans="5:42" x14ac:dyDescent="0.3">
      <c r="E36" s="52" t="s">
        <v>20</v>
      </c>
      <c r="F36" s="52" t="str">
        <f>'D Actual'!R8</f>
        <v>Full</v>
      </c>
      <c r="G36" s="52">
        <f>IF(AND(F36="Slack",'D Actual'!S8="%"), 'D Actual'!T8, ('D Actual'!Z8/TTHH!C21)*100)</f>
        <v>100</v>
      </c>
      <c r="H36" s="57" t="str" cm="1">
        <f t="array" ref="H36:H60">Interfaz!H197:H221</f>
        <v>Vacio</v>
      </c>
      <c r="I36" s="52" t="s">
        <v>352</v>
      </c>
      <c r="J36" s="60" cm="1">
        <f t="array" ref="J36:J60">Interfaz!I197:I221</f>
        <v>0</v>
      </c>
      <c r="K36" s="57" cm="1">
        <f t="array" ref="K36:K60">Interfaz!J197:J221</f>
        <v>0</v>
      </c>
      <c r="L36" s="60" cm="1">
        <f t="array" ref="L36:L60">Interfaz!K197:K221</f>
        <v>0</v>
      </c>
      <c r="M36" s="57" cm="1">
        <f t="array" ref="M36:M60">Interfaz!L197:L221</f>
        <v>0</v>
      </c>
      <c r="N36" s="57" cm="1">
        <f t="array" ref="N36:N60">Interfaz!M197:M221</f>
        <v>0</v>
      </c>
      <c r="O36" s="56">
        <f>IFERROR(IF(H36="Vacio",0,IF(H36="Full",P36*Q36,IF(H36="Slack",P36*Q36,0))),"Error")</f>
        <v>0</v>
      </c>
      <c r="P36" s="32">
        <f>IFERROR(IF(H36="Vacio",0,IF(H36="Full",TTHH!C21,IF(H36="Slack",TTHH!C21*J36/100,0))),"Error")</f>
        <v>0</v>
      </c>
      <c r="Q36" s="32" t="b">
        <f>IF(K36="Igual",$L$35,IF(K36="Distinta",IF(AND(M36="Tm",N36="m3"),L36,IF(AND(M36="Tm",N36="m3"),L36,IF(AND(M36="Tm",N36="ft3"),L36/0.028316,IF(AND(M36="LT",N36="m3"),L36*1.01605,IF(AND(M36="LT",N36="ft3"),L36*(1.01605/0.028316),0)))))))</f>
        <v>0</v>
      </c>
      <c r="S36" s="52" t="s">
        <v>8</v>
      </c>
      <c r="T36" s="56">
        <v>11226.447776454837</v>
      </c>
      <c r="U36" s="56">
        <f ca="1">IFERROR(FORECAST(P11, OFFSET(TTHH!$AP$10,MATCH(P11,TTHH!$AM$10:$AM$100,-1)-1,0,2), OFFSET(TTHH!$AM$10,MATCH(P11,TTHH!$AM$10:$AM$100,-1)-1,0,2)),0)</f>
        <v>8.8043283667345449</v>
      </c>
      <c r="V36" s="56">
        <f ca="1">T36*U36</f>
        <v>98841.332615905281</v>
      </c>
      <c r="W36" s="56">
        <f ca="1">IFERROR(FORECAST(P11, OFFSET(TTHH!$AO$10,MATCH(P11,TTHH!$AM$10:$AM$100,-1)-1,0,2), OFFSET(TTHH!$AM$10,MATCH(P11,TTHH!$AM$10:$AM$100,-1)-1,0,2)),0)</f>
        <v>101.22</v>
      </c>
      <c r="X36" s="56">
        <f ca="1">T36*W36</f>
        <v>1136341.0439327587</v>
      </c>
      <c r="Y36" s="52">
        <v>0</v>
      </c>
      <c r="Z36" s="56">
        <f>T36*Y36</f>
        <v>0</v>
      </c>
      <c r="AA36" s="18"/>
      <c r="AC36" s="44">
        <f ca="1">IFERROR(_xlfn.XLOOKUP(U10,$AG$36:$AG$37,$AH$36:$AH$37)*Y10,"")</f>
        <v>8493.9209094852049</v>
      </c>
      <c r="AD36" s="44">
        <f ca="1">IF(U10&lt;&gt;"",AC36/Y10,T10)</f>
        <v>6665.9767618505466</v>
      </c>
      <c r="AE36" s="45">
        <v>13349.5</v>
      </c>
      <c r="AF36" s="44">
        <f ca="1">IF(U10&lt;&gt;"",AC36,Q10)</f>
        <v>8493.9209094852049</v>
      </c>
      <c r="AG36" s="29" t="str" cm="1">
        <f t="array" ref="AG36">INDEX(_xlfn._xlws.FILTER($U$9:$U$13, $U$9:$U$13&lt;&gt;""), 1)</f>
        <v>B2</v>
      </c>
      <c r="AH36" s="44">
        <f ca="1">((AJ45 - (AJ35 + SUM(AJ38:AJ43))) - ((AH45 - (AH35 + SUM(AH38:AH43))) * AI37)) / (AI36 - AI37)</f>
        <v>6665.9767618505466</v>
      </c>
      <c r="AI36" s="7">
        <f ca="1">VLOOKUP(AG36, $AK$35:$AL$39, 2, FALSE)</f>
        <v>130.02000000000001</v>
      </c>
      <c r="AJ36" s="32">
        <f ca="1">AH36*AI36</f>
        <v>866710.29857580818</v>
      </c>
      <c r="AK36" s="29" t="s">
        <v>7</v>
      </c>
      <c r="AL36" s="32">
        <f ca="1">IFERROR(FORECAST(AF49, OFFSET(TTHH!$AH$10,MATCH(AF49,TTHH!$AF$10:$AF$100,-1)-1,0,2), OFFSET(TTHH!$AF$10,MATCH(AF49,TTHH!$AF$10:$AF$100,-1)-1,0,2)),0)</f>
        <v>130.02000000000001</v>
      </c>
      <c r="AM36" s="43">
        <v>0</v>
      </c>
      <c r="AN36" s="43">
        <v>0</v>
      </c>
      <c r="AO36" s="6">
        <f>IFERROR(_xlfn.XLOOKUP(AM36,'Carga y Reparto'!$AJ$92:$AJ$101,'Carga y Reparto'!$AK$92:$AK$101),0)</f>
        <v>0</v>
      </c>
      <c r="AP36" s="32">
        <f t="shared" si="6"/>
        <v>0</v>
      </c>
    </row>
    <row r="37" spans="5:42" x14ac:dyDescent="0.3">
      <c r="E37" s="52" t="s">
        <v>21</v>
      </c>
      <c r="F37" s="52" t="str">
        <f>'D Actual'!R9</f>
        <v>Full</v>
      </c>
      <c r="G37" s="52">
        <f>IF(AND(F37="Slack",'D Actual'!S9="%"), 'D Actual'!T9, ('D Actual'!Z9/TTHH!C22)*100)</f>
        <v>100</v>
      </c>
      <c r="H37" s="57" t="str">
        <v>Vacio</v>
      </c>
      <c r="I37" s="52" t="s">
        <v>352</v>
      </c>
      <c r="J37" s="60">
        <v>0</v>
      </c>
      <c r="K37" s="57">
        <v>0</v>
      </c>
      <c r="L37" s="60">
        <v>0</v>
      </c>
      <c r="M37" s="57">
        <v>0</v>
      </c>
      <c r="N37" s="57">
        <v>0</v>
      </c>
      <c r="O37" s="56">
        <f t="shared" ref="O37:O60" si="7">IFERROR(IF(H37="Vacio",0,IF(H37="Full",P37*Q37,IF(H37="Slack",P37*Q37,0))),"Error")</f>
        <v>0</v>
      </c>
      <c r="P37" s="32">
        <f>IFERROR(IF(H37="Vacio",0,IF(H37="Full",TTHH!C22,IF(H37="Slack",TTHH!C22*J37/100,0))),"Error")</f>
        <v>0</v>
      </c>
      <c r="Q37" s="32" t="b">
        <f t="shared" ref="Q37:Q60" si="8">IF(K37="Igual",$L$35,IF(K37="Distinta",IF(AND(M37="Tm",N37="m3"),L37,IF(AND(M37="Tm",N37="m3"),L37,IF(AND(M37="Tm",N37="ft3"),L37/0.028316,IF(AND(M37="LT",N37="m3"),L37*1.01605,IF(AND(M37="LT",N37="ft3"),L37*(1.01605/0.028316),0)))))))</f>
        <v>0</v>
      </c>
      <c r="S37" s="52" t="s">
        <v>9</v>
      </c>
      <c r="T37" s="56">
        <v>0</v>
      </c>
      <c r="U37" s="56">
        <f ca="1">IFERROR(FORECAST(P12, OFFSET(TTHH!$AW$10,MATCH(P12,TTHH!$AT$10:$AT$100,-1)-1,0,2), OFFSET(TTHH!$AT$10,MATCH(P12,TTHH!$AT$10:$AT$100,-1)-1,0,2)),0)</f>
        <v>0</v>
      </c>
      <c r="V37" s="56">
        <f ca="1">T37*U37</f>
        <v>0</v>
      </c>
      <c r="W37" s="56">
        <f ca="1">IFERROR(FORECAST(P12, OFFSET(TTHH!$AV$10,MATCH(P12,TTHH!$AT$10:$AT$100,-1)-1,0,2), OFFSET(TTHH!$AT$10,MATCH(P12,TTHH!$AT$10:$AT$100,-1)-1,0,2)),0)</f>
        <v>0</v>
      </c>
      <c r="X37" s="56">
        <f ca="1">T37*W37</f>
        <v>0</v>
      </c>
      <c r="Y37" s="52">
        <v>0</v>
      </c>
      <c r="Z37" s="56">
        <f>T37*Y37</f>
        <v>0</v>
      </c>
      <c r="AA37" s="18"/>
      <c r="AC37" s="44" t="str">
        <f>IFERROR(_xlfn.XLOOKUP(U11,$AG$36:$AG$37,$AH$36:$AH$37)*Y11,"")</f>
        <v/>
      </c>
      <c r="AD37" s="44">
        <f>IF(U11&lt;&gt;"",AC37/Y11,T11)</f>
        <v>11226.447776454837</v>
      </c>
      <c r="AE37" s="45">
        <v>13351.3</v>
      </c>
      <c r="AF37" s="44">
        <f>IF(U11&lt;&gt;"",AC37,Q11)</f>
        <v>13351.3</v>
      </c>
      <c r="AG37" s="29" t="str" cm="1">
        <f t="array" ref="AG37">INDEX(_xlfn._xlws.FILTER($U$9:$U$13, $U$9:$U$13&lt;&gt;""), 2)</f>
        <v>B4</v>
      </c>
      <c r="AH37" s="44">
        <f ca="1">(AH45 - (AH35 + SUM(AH38:AH43))) - AH36</f>
        <v>972.4422539819243</v>
      </c>
      <c r="AI37" s="7">
        <f ca="1">VLOOKUP(AG37, $AK$35:$AL$39, 2, FALSE)</f>
        <v>72.400000000000006</v>
      </c>
      <c r="AJ37" s="32">
        <f ca="1">AH37*AI37</f>
        <v>70404.819188291323</v>
      </c>
      <c r="AK37" s="29" t="s">
        <v>8</v>
      </c>
      <c r="AL37" s="32">
        <f ca="1">IFERROR(FORECAST(AF50, OFFSET(TTHH!$AO$10,MATCH(AF50,TTHH!$AM$10:$AM$100,-1)-1,0,2), OFFSET(TTHH!$AM$10,MATCH(AF50,TTHH!$AM$10:$AM$100,-1)-1,0,2)),0)</f>
        <v>101.22</v>
      </c>
      <c r="AM37" s="43">
        <v>0</v>
      </c>
      <c r="AN37" s="43">
        <v>0</v>
      </c>
      <c r="AO37" s="6">
        <f>IFERROR(_xlfn.XLOOKUP(AM37,'Carga y Reparto'!$AJ$92:$AJ$101,'Carga y Reparto'!$AK$92:$AK$101),0)</f>
        <v>0</v>
      </c>
      <c r="AP37" s="32">
        <f t="shared" si="6"/>
        <v>0</v>
      </c>
    </row>
    <row r="38" spans="5:42" x14ac:dyDescent="0.3">
      <c r="E38" s="52" t="s">
        <v>25</v>
      </c>
      <c r="F38" s="52" t="str">
        <f>'D Actual'!R10</f>
        <v>Full</v>
      </c>
      <c r="G38" s="52">
        <f>IF(AND(F38="Slack",'D Actual'!S10="%"), 'D Actual'!T10, ('D Actual'!Z10/TTHH!C23)*100)</f>
        <v>100</v>
      </c>
      <c r="H38" s="57" t="str">
        <v>Vacio</v>
      </c>
      <c r="I38" s="52" t="s">
        <v>352</v>
      </c>
      <c r="J38" s="60">
        <v>0</v>
      </c>
      <c r="K38" s="57">
        <v>0</v>
      </c>
      <c r="L38" s="60">
        <v>0</v>
      </c>
      <c r="M38" s="57">
        <v>0</v>
      </c>
      <c r="N38" s="57">
        <v>0</v>
      </c>
      <c r="O38" s="56">
        <f t="shared" si="7"/>
        <v>0</v>
      </c>
      <c r="P38" s="32">
        <f>IFERROR(IF(H38="Vacio",0,IF(H38="Full",TTHH!C23,IF(H38="Slack",TTHH!C23*J38/100,0))),"Error")</f>
        <v>0</v>
      </c>
      <c r="Q38" s="32" t="b">
        <f t="shared" si="8"/>
        <v>0</v>
      </c>
      <c r="S38" s="52" t="s">
        <v>10</v>
      </c>
      <c r="T38" s="56">
        <v>11154.218715314913</v>
      </c>
      <c r="U38" s="56">
        <f ca="1">IFERROR(FORECAST(P13, OFFSET(TTHH!$BD$10,MATCH(P13,TTHH!$BA$10:$BA$100,-1)-1,0,2), OFFSET(TTHH!$BA$10,MATCH(P13,TTHH!$BA$10:$BA$100,-1)-1,0,2)),0)</f>
        <v>9.1707093871410699</v>
      </c>
      <c r="V38" s="56">
        <f ca="1">T38*U38</f>
        <v>102292.09827876308</v>
      </c>
      <c r="W38" s="56">
        <f ca="1">IFERROR(FORECAST(P13, OFFSET(TTHH!$BC$10,MATCH(P13,TTHH!$BA$10:$BA$100,-1)-1,0,2), OFFSET(TTHH!$BA$10,MATCH(P13,TTHH!$BA$10:$BA$100,-1)-1,0,2)),0)</f>
        <v>43.232411326607362</v>
      </c>
      <c r="X38" s="56">
        <f ca="1">T38*W38</f>
        <v>482223.77152743627</v>
      </c>
      <c r="Y38" s="52">
        <v>0</v>
      </c>
      <c r="Z38" s="56">
        <f>T38*Y38</f>
        <v>0</v>
      </c>
      <c r="AA38" s="18"/>
      <c r="AC38" s="44">
        <f ca="1">IFERROR(_xlfn.XLOOKUP(U12,$AG$36:$AG$37,$AH$36:$AH$37)*Y12,"")</f>
        <v>1147.4818596986706</v>
      </c>
      <c r="AD38" s="44">
        <f ca="1">IF(U12&lt;&gt;"",AC38/Y12,T12)</f>
        <v>972.4422539819243</v>
      </c>
      <c r="AE38" s="45">
        <v>13349.6</v>
      </c>
      <c r="AF38" s="44">
        <f ca="1">IF(U12&lt;&gt;"",AC38,Q12)</f>
        <v>1147.4818596986706</v>
      </c>
      <c r="AG38" s="29" t="s">
        <v>482</v>
      </c>
      <c r="AH38" s="31">
        <f>IF(S21="A SAL (cm)",0,(-1)*AN18)</f>
        <v>0</v>
      </c>
      <c r="AI38" s="42">
        <f>AO18</f>
        <v>18.196545901265864</v>
      </c>
      <c r="AJ38" s="32">
        <f t="shared" ref="AJ38:AJ43" si="9">AH38*AI38</f>
        <v>0</v>
      </c>
      <c r="AK38" s="29" t="s">
        <v>9</v>
      </c>
      <c r="AL38" s="32">
        <f ca="1">IFERROR(FORECAST(AF51, OFFSET(TTHH!$AV$10,MATCH(AF51,TTHH!$AT$10:$AT$100,-1)-1,0,2), OFFSET(TTHH!$AT$10,MATCH(AF51,TTHH!$AT$10:$AT$100,-1)-1,0,2)),0)</f>
        <v>72.400000000000006</v>
      </c>
      <c r="AM38" s="43">
        <v>0</v>
      </c>
      <c r="AN38" s="43">
        <v>0</v>
      </c>
      <c r="AO38" s="6">
        <f>IFERROR(_xlfn.XLOOKUP(AM38,'Carga y Reparto'!$AJ$92:$AJ$101,'Carga y Reparto'!$AK$92:$AK$101),0)</f>
        <v>0</v>
      </c>
      <c r="AP38" s="32">
        <f t="shared" si="6"/>
        <v>0</v>
      </c>
    </row>
    <row r="39" spans="5:42" x14ac:dyDescent="0.3">
      <c r="E39" s="52" t="s">
        <v>23</v>
      </c>
      <c r="F39" s="52" t="str">
        <f>'D Actual'!R11</f>
        <v>Full</v>
      </c>
      <c r="G39" s="52">
        <f>IF(AND(F39="Slack",'D Actual'!S11="%"), 'D Actual'!T11, ('D Actual'!Z11/TTHH!C24)*100)</f>
        <v>100</v>
      </c>
      <c r="H39" s="57" t="str">
        <v>Vacio</v>
      </c>
      <c r="I39" s="52" t="s">
        <v>352</v>
      </c>
      <c r="J39" s="60">
        <v>0</v>
      </c>
      <c r="K39" s="57">
        <v>0</v>
      </c>
      <c r="L39" s="60">
        <v>0</v>
      </c>
      <c r="M39" s="57">
        <v>0</v>
      </c>
      <c r="N39" s="57">
        <v>0</v>
      </c>
      <c r="O39" s="56">
        <f t="shared" si="7"/>
        <v>0</v>
      </c>
      <c r="P39" s="32">
        <f>IFERROR(IF(H39="Vacio",0,IF(H39="Full",TTHH!C24,IF(H39="Slack",TTHH!C24*J39/100,0))),"Error")</f>
        <v>0</v>
      </c>
      <c r="Q39" s="32" t="b">
        <f t="shared" si="8"/>
        <v>0</v>
      </c>
      <c r="S39" s="54" t="s">
        <v>19</v>
      </c>
      <c r="T39" s="38"/>
      <c r="U39" s="38"/>
      <c r="V39" s="38"/>
      <c r="W39" s="38"/>
      <c r="X39" s="38"/>
      <c r="Y39" s="38"/>
      <c r="Z39" s="38"/>
      <c r="AA39" s="38"/>
      <c r="AC39" s="44" t="str">
        <f>IFERROR(_xlfn.XLOOKUP(U13,$AG$36:$AG$37,$AH$36:$AH$37)*Y13,"")</f>
        <v/>
      </c>
      <c r="AD39" s="44">
        <f>IF(U13&lt;&gt;"",AC39/Y13,T13)</f>
        <v>11154.218715314913</v>
      </c>
      <c r="AE39" s="45">
        <v>13265.4</v>
      </c>
      <c r="AF39" s="44">
        <f>IF(U13&lt;&gt;"",AC39,Q13)</f>
        <v>13265.4</v>
      </c>
      <c r="AG39" s="29" t="s">
        <v>483</v>
      </c>
      <c r="AH39" s="31">
        <f>IF(S21="A SAL (cm)",0,(-1)*AN26)</f>
        <v>0</v>
      </c>
      <c r="AI39" s="42">
        <f>AO26</f>
        <v>13.730319200871726</v>
      </c>
      <c r="AJ39" s="32">
        <f t="shared" si="9"/>
        <v>0</v>
      </c>
      <c r="AK39" s="29" t="s">
        <v>10</v>
      </c>
      <c r="AL39" s="32">
        <f ca="1">IFERROR(FORECAST(AF52, OFFSET(TTHH!$BC$10,MATCH(AF52,TTHH!$BA$10:$BA$100,-1)-1,0,2), OFFSET(TTHH!$BA$10,MATCH(AF52,TTHH!$BA$10:$BA$100,-1)-1,0,2)),0)</f>
        <v>43.26</v>
      </c>
      <c r="AM39" s="43">
        <v>0</v>
      </c>
      <c r="AN39" s="43">
        <v>0</v>
      </c>
      <c r="AO39" s="6">
        <f>IFERROR(_xlfn.XLOOKUP(AM39,'Carga y Reparto'!$AJ$92:$AJ$101,'Carga y Reparto'!$AK$92:$AK$101),0)</f>
        <v>0</v>
      </c>
      <c r="AP39" s="32">
        <f t="shared" si="6"/>
        <v>0</v>
      </c>
    </row>
    <row r="40" spans="5:42" x14ac:dyDescent="0.3">
      <c r="E40" s="52" t="s">
        <v>26</v>
      </c>
      <c r="F40" s="52" t="str">
        <f>'D Actual'!R12</f>
        <v>Full</v>
      </c>
      <c r="G40" s="52">
        <f>IF(AND(F40="Slack",'D Actual'!S12="%"), 'D Actual'!T12, ('D Actual'!Z12/TTHH!C25)*100)</f>
        <v>100</v>
      </c>
      <c r="H40" s="57" t="str">
        <v>Vacio</v>
      </c>
      <c r="I40" s="52" t="s">
        <v>352</v>
      </c>
      <c r="J40" s="60">
        <v>0</v>
      </c>
      <c r="K40" s="57">
        <v>0</v>
      </c>
      <c r="L40" s="60">
        <v>0</v>
      </c>
      <c r="M40" s="57">
        <v>0</v>
      </c>
      <c r="N40" s="57">
        <v>0</v>
      </c>
      <c r="O40" s="56">
        <f t="shared" si="7"/>
        <v>0</v>
      </c>
      <c r="P40" s="32">
        <f>IFERROR(IF(H40="Vacio",0,IF(H40="Full",TTHH!C25,IF(H40="Slack",TTHH!C25*J40/100,0))),"Error")</f>
        <v>0</v>
      </c>
      <c r="Q40" s="32" t="b">
        <f t="shared" si="8"/>
        <v>0</v>
      </c>
      <c r="S40" s="52" t="s">
        <v>20</v>
      </c>
      <c r="T40" s="56" cm="1">
        <f t="array" ref="T40:T63">O36:O59</f>
        <v>0</v>
      </c>
      <c r="U40" s="52" cm="1">
        <f t="array" ref="U40:U64">'Condición Actual'!V17:V41</f>
        <v>9.3000000000000007</v>
      </c>
      <c r="V40" s="56">
        <f>T40*U40</f>
        <v>0</v>
      </c>
      <c r="W40" s="52" cm="1">
        <f t="array" ref="W40:W64">'Condición Actual'!X17:X41</f>
        <v>179.02</v>
      </c>
      <c r="X40" s="56">
        <f t="shared" ref="X40:X64" si="10">T40*W40</f>
        <v>0</v>
      </c>
      <c r="Y40" s="52" cm="1">
        <f t="array" ref="Y40:Y64">'Condición Actual'!Z17:Z41</f>
        <v>0</v>
      </c>
      <c r="Z40" s="56">
        <f>T40*Y40</f>
        <v>0</v>
      </c>
      <c r="AA40" s="56">
        <f>IF(AND(P36&lt;TTHH!D21,P36&lt;&gt;0),TTHH!H21,0)</f>
        <v>0</v>
      </c>
      <c r="AG40" s="29" t="s">
        <v>485</v>
      </c>
      <c r="AH40" s="31">
        <f>IF(S21="A SAL (cm)",0,AN40*(-1))</f>
        <v>0</v>
      </c>
      <c r="AI40" s="42">
        <f>AO40</f>
        <v>9.005757735924675</v>
      </c>
      <c r="AJ40" s="32">
        <f t="shared" si="9"/>
        <v>0</v>
      </c>
      <c r="AM40" s="29" t="s">
        <v>485</v>
      </c>
      <c r="AN40" s="32">
        <f>SUM(_xlfn.ANCHORARRAY(AN30))</f>
        <v>17.032844465534886</v>
      </c>
      <c r="AO40" s="32">
        <f>IFERROR(AP40/AN40,0)</f>
        <v>9.005757735924675</v>
      </c>
      <c r="AP40" s="32">
        <f>SUM(AP30:AP39)</f>
        <v>153.39367081029258</v>
      </c>
    </row>
    <row r="41" spans="5:42" x14ac:dyDescent="0.3">
      <c r="E41" s="52" t="s">
        <v>22</v>
      </c>
      <c r="F41" s="52" t="str">
        <f>'D Actual'!R13</f>
        <v>Full</v>
      </c>
      <c r="G41" s="52">
        <f>IF(AND(F41="Slack",'D Actual'!S13="%"), 'D Actual'!T13, ('D Actual'!Z13/TTHH!C26)*100)</f>
        <v>100</v>
      </c>
      <c r="H41" s="57" t="str">
        <v>Vacio</v>
      </c>
      <c r="I41" s="52" t="s">
        <v>352</v>
      </c>
      <c r="J41" s="60">
        <v>0</v>
      </c>
      <c r="K41" s="57">
        <v>0</v>
      </c>
      <c r="L41" s="60">
        <v>0</v>
      </c>
      <c r="M41" s="57">
        <v>0</v>
      </c>
      <c r="N41" s="57">
        <v>0</v>
      </c>
      <c r="O41" s="56">
        <f t="shared" si="7"/>
        <v>0</v>
      </c>
      <c r="P41" s="32">
        <f>IFERROR(IF(H41="Vacio",0,IF(H41="Full",TTHH!C26,IF(H41="Slack",TTHH!C26*J41/100,0))),"Error")</f>
        <v>0</v>
      </c>
      <c r="Q41" s="32" t="b">
        <f t="shared" si="8"/>
        <v>0</v>
      </c>
      <c r="S41" s="52" t="s">
        <v>21</v>
      </c>
      <c r="T41" s="56">
        <v>0</v>
      </c>
      <c r="U41" s="52">
        <v>0.91</v>
      </c>
      <c r="V41" s="56">
        <f t="shared" ref="V41:V64" si="11">T41*U41</f>
        <v>0</v>
      </c>
      <c r="W41" s="52">
        <v>157.12</v>
      </c>
      <c r="X41" s="56">
        <f t="shared" si="10"/>
        <v>0</v>
      </c>
      <c r="Y41" s="52">
        <v>-5.15</v>
      </c>
      <c r="Z41" s="56">
        <f t="shared" ref="Z41:Z64" si="12">T41*Y41</f>
        <v>0</v>
      </c>
      <c r="AA41" s="56">
        <f>IF(AND(P37&lt;TTHH!D22,P37&lt;&gt;0),TTHH!H22,0)</f>
        <v>0</v>
      </c>
      <c r="AG41" s="29" t="s">
        <v>486</v>
      </c>
      <c r="AH41" s="31">
        <f>IF(S21="A SAL (cm)",0,(-1)*AN47)</f>
        <v>0</v>
      </c>
      <c r="AI41" s="42">
        <f>AO47</f>
        <v>0</v>
      </c>
      <c r="AJ41" s="32">
        <f t="shared" si="9"/>
        <v>0</v>
      </c>
    </row>
    <row r="42" spans="5:42" x14ac:dyDescent="0.3">
      <c r="E42" s="52" t="s">
        <v>31</v>
      </c>
      <c r="F42" s="52" t="str">
        <f>'D Actual'!R14</f>
        <v>Full</v>
      </c>
      <c r="G42" s="52">
        <f>IF(AND(F42="Slack",'D Actual'!S14="%"), 'D Actual'!T14, ('D Actual'!Z14/TTHH!C27)*100)</f>
        <v>100</v>
      </c>
      <c r="H42" s="57" t="str">
        <v>Vacio</v>
      </c>
      <c r="I42" s="52" t="s">
        <v>352</v>
      </c>
      <c r="J42" s="60">
        <v>0</v>
      </c>
      <c r="K42" s="57">
        <v>0</v>
      </c>
      <c r="L42" s="60">
        <v>0</v>
      </c>
      <c r="M42" s="57">
        <v>0</v>
      </c>
      <c r="N42" s="57">
        <v>0</v>
      </c>
      <c r="O42" s="56">
        <f t="shared" si="7"/>
        <v>0</v>
      </c>
      <c r="P42" s="32">
        <f>IFERROR(IF(H42="Vacio",0,IF(H42="Full",TTHH!C27,IF(H42="Slack",TTHH!C27*J42/100,0))),"Error")</f>
        <v>0</v>
      </c>
      <c r="Q42" s="32" t="b">
        <f t="shared" si="8"/>
        <v>0</v>
      </c>
      <c r="S42" s="52" t="s">
        <v>25</v>
      </c>
      <c r="T42" s="56">
        <v>0</v>
      </c>
      <c r="U42" s="52">
        <v>0.91</v>
      </c>
      <c r="V42" s="56">
        <f t="shared" si="11"/>
        <v>0</v>
      </c>
      <c r="W42" s="52">
        <v>157.12</v>
      </c>
      <c r="X42" s="56">
        <f t="shared" si="10"/>
        <v>0</v>
      </c>
      <c r="Y42" s="52">
        <v>5.15</v>
      </c>
      <c r="Z42" s="56">
        <f t="shared" si="12"/>
        <v>0</v>
      </c>
      <c r="AA42" s="56">
        <f>IF(AND(P38&lt;TTHH!D23,P38&lt;&gt;0),TTHH!H23,0)</f>
        <v>0</v>
      </c>
      <c r="AG42" s="29" t="s">
        <v>487</v>
      </c>
      <c r="AH42" s="31">
        <f>IF(S21="A SAL (cm)",0,(-1)*AN62)</f>
        <v>0</v>
      </c>
      <c r="AI42" s="42">
        <f>AO62</f>
        <v>-0.81</v>
      </c>
      <c r="AJ42" s="32">
        <f t="shared" si="9"/>
        <v>0</v>
      </c>
    </row>
    <row r="43" spans="5:42" x14ac:dyDescent="0.3">
      <c r="E43" s="52" t="s">
        <v>24</v>
      </c>
      <c r="F43" s="52" t="str">
        <f>'D Actual'!R15</f>
        <v>Full</v>
      </c>
      <c r="G43" s="52">
        <f>IF(AND(F43="Slack",'D Actual'!S15="%"), 'D Actual'!T15, ('D Actual'!Z15/TTHH!C28)*100)</f>
        <v>100</v>
      </c>
      <c r="H43" s="57" t="str">
        <v>Slack</v>
      </c>
      <c r="I43" s="52" t="s">
        <v>352</v>
      </c>
      <c r="J43" s="60">
        <v>24.4</v>
      </c>
      <c r="K43" s="57" t="str">
        <v>Distinta</v>
      </c>
      <c r="L43" s="60">
        <v>1.01</v>
      </c>
      <c r="M43" s="57" t="str">
        <v>Tm</v>
      </c>
      <c r="N43" s="57" t="str">
        <v>m3</v>
      </c>
      <c r="O43" s="56">
        <f t="shared" si="7"/>
        <v>248.53474</v>
      </c>
      <c r="P43" s="32">
        <f>IFERROR(IF(H43="Vacio",0,IF(H43="Full",TTHH!C28,IF(H43="Slack",TTHH!C28*J43/100,0))),"Error")</f>
        <v>246.07399999999998</v>
      </c>
      <c r="Q43" s="32">
        <f t="shared" si="8"/>
        <v>1.01</v>
      </c>
      <c r="S43" s="52" t="s">
        <v>23</v>
      </c>
      <c r="T43" s="56">
        <v>0</v>
      </c>
      <c r="U43" s="52">
        <v>7.19</v>
      </c>
      <c r="V43" s="56">
        <f t="shared" si="11"/>
        <v>0</v>
      </c>
      <c r="W43" s="52">
        <v>158.83000000000001</v>
      </c>
      <c r="X43" s="56">
        <f t="shared" si="10"/>
        <v>0</v>
      </c>
      <c r="Y43" s="52">
        <v>-12.75</v>
      </c>
      <c r="Z43" s="56">
        <f t="shared" si="12"/>
        <v>0</v>
      </c>
      <c r="AA43" s="56">
        <f>IF(AND(P39&lt;TTHH!D24,P39&lt;&gt;0),TTHH!H24,0)</f>
        <v>0</v>
      </c>
      <c r="AG43" s="29" t="s">
        <v>488</v>
      </c>
      <c r="AH43" s="31">
        <f>IF(S21="A SAL (cm)",0,(-1)*AN56)</f>
        <v>0</v>
      </c>
      <c r="AI43" s="42">
        <f>AO56</f>
        <v>0</v>
      </c>
      <c r="AJ43" s="32">
        <f t="shared" si="9"/>
        <v>0</v>
      </c>
      <c r="AM43" s="29" t="s">
        <v>486</v>
      </c>
      <c r="AN43" s="29" t="s">
        <v>99</v>
      </c>
      <c r="AO43" s="29" t="s">
        <v>15</v>
      </c>
      <c r="AP43" s="29" t="s">
        <v>383</v>
      </c>
    </row>
    <row r="44" spans="5:42" x14ac:dyDescent="0.3">
      <c r="E44" s="52" t="s">
        <v>32</v>
      </c>
      <c r="F44" s="52" t="str">
        <f>'D Actual'!R16</f>
        <v>Full</v>
      </c>
      <c r="G44" s="52">
        <f>IF(AND(F44="Slack",'D Actual'!S16="%"), 'D Actual'!T16, ('D Actual'!Z16/TTHH!C29)*100)</f>
        <v>100</v>
      </c>
      <c r="H44" s="57" t="str">
        <v>Vacio</v>
      </c>
      <c r="I44" s="52" t="s">
        <v>352</v>
      </c>
      <c r="J44" s="60">
        <v>0</v>
      </c>
      <c r="K44" s="57">
        <v>0</v>
      </c>
      <c r="L44" s="60">
        <v>0</v>
      </c>
      <c r="M44" s="57">
        <v>0</v>
      </c>
      <c r="N44" s="57">
        <v>0</v>
      </c>
      <c r="O44" s="56">
        <f t="shared" si="7"/>
        <v>0</v>
      </c>
      <c r="P44" s="32">
        <f>IFERROR(IF(H44="Vacio",0,IF(H44="Full",TTHH!C29,IF(H44="Slack",TTHH!C29*J44/100,0))),"Error")</f>
        <v>0</v>
      </c>
      <c r="Q44" s="32" t="b">
        <f t="shared" si="8"/>
        <v>0</v>
      </c>
      <c r="S44" s="52" t="s">
        <v>26</v>
      </c>
      <c r="T44" s="56">
        <v>0</v>
      </c>
      <c r="U44" s="52">
        <v>7.19</v>
      </c>
      <c r="V44" s="56">
        <f t="shared" si="11"/>
        <v>0</v>
      </c>
      <c r="W44" s="52">
        <v>158.83000000000001</v>
      </c>
      <c r="X44" s="56">
        <f t="shared" si="10"/>
        <v>0</v>
      </c>
      <c r="Y44" s="52">
        <v>12.75</v>
      </c>
      <c r="Z44" s="56">
        <f t="shared" si="12"/>
        <v>0</v>
      </c>
      <c r="AA44" s="56">
        <f>IF(AND(P40&lt;TTHH!D25,P40&lt;&gt;0),TTHH!H25,0)</f>
        <v>0</v>
      </c>
      <c r="AI44" s="41"/>
      <c r="AM44" s="43" cm="1">
        <f t="array" ref="AM44:AM46">Consumos!P22:P24</f>
        <v>0</v>
      </c>
      <c r="AN44" s="43" cm="1">
        <f t="array" ref="AN44:AN46">Consumos!U22:U24</f>
        <v>0</v>
      </c>
      <c r="AO44" s="6">
        <f>IFERROR(_xlfn.XLOOKUP(AM44,$AM$92:$AM$94,$AN$92:$AN$94),0)</f>
        <v>0</v>
      </c>
      <c r="AP44" s="32">
        <f>IFERROR(AN44*AO44,0)</f>
        <v>0</v>
      </c>
    </row>
    <row r="45" spans="5:42" x14ac:dyDescent="0.3">
      <c r="E45" s="52" t="s">
        <v>33</v>
      </c>
      <c r="F45" s="52" t="str">
        <f>'D Actual'!R17</f>
        <v>Full</v>
      </c>
      <c r="G45" s="52">
        <f>IF(AND(F45="Slack",'D Actual'!S17="%"), 'D Actual'!T17, ('D Actual'!Z17/TTHH!C30)*100)</f>
        <v>100</v>
      </c>
      <c r="H45" s="57" t="str">
        <v>Vacio</v>
      </c>
      <c r="I45" s="52" t="s">
        <v>352</v>
      </c>
      <c r="J45" s="60">
        <v>0</v>
      </c>
      <c r="K45" s="57">
        <v>0</v>
      </c>
      <c r="L45" s="60">
        <v>0</v>
      </c>
      <c r="M45" s="57">
        <v>0</v>
      </c>
      <c r="N45" s="57">
        <v>0</v>
      </c>
      <c r="O45" s="56">
        <f t="shared" si="7"/>
        <v>0</v>
      </c>
      <c r="P45" s="32">
        <f>IFERROR(IF(H45="Vacio",0,IF(H45="Full",TTHH!C30,IF(H45="Slack",TTHH!C30*J45/100,0))),"Error")</f>
        <v>0</v>
      </c>
      <c r="Q45" s="32" t="b">
        <f t="shared" si="8"/>
        <v>0</v>
      </c>
      <c r="S45" s="52" t="s">
        <v>22</v>
      </c>
      <c r="T45" s="56">
        <v>0</v>
      </c>
      <c r="U45" s="52">
        <v>1.24</v>
      </c>
      <c r="V45" s="56">
        <f t="shared" si="11"/>
        <v>0</v>
      </c>
      <c r="W45" s="52">
        <v>132.91</v>
      </c>
      <c r="X45" s="56">
        <f t="shared" si="10"/>
        <v>0</v>
      </c>
      <c r="Y45" s="52">
        <v>-7.49</v>
      </c>
      <c r="Z45" s="56">
        <f t="shared" si="12"/>
        <v>0</v>
      </c>
      <c r="AA45" s="56">
        <f>IF(AND(P41&lt;TTHH!D26,P41&lt;&gt;0),TTHH!H26,0)</f>
        <v>0</v>
      </c>
      <c r="AG45" s="29" t="s">
        <v>484</v>
      </c>
      <c r="AH45" s="31">
        <f ca="1">IF(S21="A SAL (cm)",'D Máximos'!I13,IF('Carga y Reparto'!S21="A LLEG (cm)",'D Máximos'!Q13,0))</f>
        <v>53080.9</v>
      </c>
      <c r="AI45" s="42">
        <f ca="1">V23</f>
        <v>97.905258977953807</v>
      </c>
      <c r="AJ45" s="32">
        <f ca="1">AH45*AI45</f>
        <v>5196899.2612828687</v>
      </c>
      <c r="AM45" s="43">
        <v>0</v>
      </c>
      <c r="AN45" s="43">
        <v>0</v>
      </c>
      <c r="AO45" s="6">
        <f>IFERROR(_xlfn.XLOOKUP(AM45,$AM$92:$AM$94,$AN$92:$AN$94),0)</f>
        <v>0</v>
      </c>
      <c r="AP45" s="32">
        <f>IFERROR(AN45*AO45,0)</f>
        <v>0</v>
      </c>
    </row>
    <row r="46" spans="5:42" x14ac:dyDescent="0.3">
      <c r="E46" s="52" t="s">
        <v>34</v>
      </c>
      <c r="F46" s="52" t="str">
        <f>'D Actual'!R18</f>
        <v>Full</v>
      </c>
      <c r="G46" s="52">
        <f>IF(AND(F46="Slack",'D Actual'!S18="%"), 'D Actual'!T18, ('D Actual'!Z18/TTHH!C31)*100)</f>
        <v>100</v>
      </c>
      <c r="H46" s="57" t="str">
        <v>Vacio</v>
      </c>
      <c r="I46" s="52" t="s">
        <v>352</v>
      </c>
      <c r="J46" s="60">
        <v>0</v>
      </c>
      <c r="K46" s="57">
        <v>0</v>
      </c>
      <c r="L46" s="60">
        <v>0</v>
      </c>
      <c r="M46" s="57">
        <v>0</v>
      </c>
      <c r="N46" s="57">
        <v>0</v>
      </c>
      <c r="O46" s="56">
        <f t="shared" si="7"/>
        <v>0</v>
      </c>
      <c r="P46" s="32">
        <f>IFERROR(IF(H46="Vacio",0,IF(H46="Full",TTHH!C31,IF(H46="Slack",TTHH!C31*J46/100,0))),"Error")</f>
        <v>0</v>
      </c>
      <c r="Q46" s="32" t="b">
        <f t="shared" si="8"/>
        <v>0</v>
      </c>
      <c r="S46" s="52" t="s">
        <v>31</v>
      </c>
      <c r="T46" s="56">
        <v>0</v>
      </c>
      <c r="U46" s="52">
        <v>1.24</v>
      </c>
      <c r="V46" s="56">
        <f t="shared" si="11"/>
        <v>0</v>
      </c>
      <c r="W46" s="52">
        <v>132.91</v>
      </c>
      <c r="X46" s="56">
        <f t="shared" si="10"/>
        <v>0</v>
      </c>
      <c r="Y46" s="52">
        <v>7.49</v>
      </c>
      <c r="Z46" s="56">
        <f t="shared" si="12"/>
        <v>0</v>
      </c>
      <c r="AA46" s="56">
        <f>IF(AND(P42&lt;TTHH!D27,P42&lt;&gt;0),TTHH!H27,0)</f>
        <v>0</v>
      </c>
      <c r="AM46" s="43">
        <v>0</v>
      </c>
      <c r="AN46" s="43">
        <v>0</v>
      </c>
      <c r="AO46" s="6">
        <f>IFERROR(_xlfn.XLOOKUP(AM46,$AM$92:$AM$94,$AN$92:$AN$94),0)</f>
        <v>0</v>
      </c>
      <c r="AP46" s="32">
        <f>IFERROR(AN46*AO46,0)</f>
        <v>0</v>
      </c>
    </row>
    <row r="47" spans="5:42" x14ac:dyDescent="0.3">
      <c r="E47" s="52" t="s">
        <v>35</v>
      </c>
      <c r="F47" s="52" t="str">
        <f>'D Actual'!R19</f>
        <v>Full</v>
      </c>
      <c r="G47" s="52">
        <f>IF(AND(F47="Slack",'D Actual'!S19="%"), 'D Actual'!T19, ('D Actual'!Z19/TTHH!C32)*100)</f>
        <v>100</v>
      </c>
      <c r="H47" s="57" t="str">
        <v>Vacio</v>
      </c>
      <c r="I47" s="52" t="s">
        <v>352</v>
      </c>
      <c r="J47" s="60">
        <v>0</v>
      </c>
      <c r="K47" s="57">
        <v>0</v>
      </c>
      <c r="L47" s="60">
        <v>0</v>
      </c>
      <c r="M47" s="57">
        <v>0</v>
      </c>
      <c r="N47" s="57">
        <v>0</v>
      </c>
      <c r="O47" s="56">
        <f t="shared" si="7"/>
        <v>0</v>
      </c>
      <c r="P47" s="32">
        <f>IFERROR(IF(H47="Vacio",0,IF(H47="Full",TTHH!C32,IF(H47="Slack",TTHH!C32*J47/100,0))),"Error")</f>
        <v>0</v>
      </c>
      <c r="Q47" s="32" t="b">
        <f t="shared" si="8"/>
        <v>0</v>
      </c>
      <c r="S47" s="52" t="s">
        <v>24</v>
      </c>
      <c r="T47" s="56">
        <v>248.53474</v>
      </c>
      <c r="U47" s="52">
        <v>8.9</v>
      </c>
      <c r="V47" s="56">
        <f t="shared" si="11"/>
        <v>2211.959186</v>
      </c>
      <c r="W47" s="52">
        <v>130.6</v>
      </c>
      <c r="X47" s="56">
        <f t="shared" si="10"/>
        <v>32458.637043999999</v>
      </c>
      <c r="Y47" s="52">
        <v>-14.86</v>
      </c>
      <c r="Z47" s="56">
        <f t="shared" si="12"/>
        <v>-3693.2262363999998</v>
      </c>
      <c r="AA47" s="56">
        <f>IF(AND(P43&lt;TTHH!D28,P43&lt;&gt;0),TTHH!H28,0)</f>
        <v>90</v>
      </c>
      <c r="AC47" s="29" t="s">
        <v>128</v>
      </c>
      <c r="AD47" s="29" t="s">
        <v>503</v>
      </c>
      <c r="AE47" s="29" t="s">
        <v>502</v>
      </c>
      <c r="AF47" s="29" t="s">
        <v>360</v>
      </c>
      <c r="AH47" s="29" t="s">
        <v>99</v>
      </c>
      <c r="AI47" s="29" t="s">
        <v>15</v>
      </c>
      <c r="AJ47" s="29" t="s">
        <v>383</v>
      </c>
      <c r="AL47" s="29" t="s">
        <v>15</v>
      </c>
      <c r="AM47" s="29" t="s">
        <v>486</v>
      </c>
      <c r="AN47" s="32">
        <f>SUM(_xlfn.ANCHORARRAY(AN44))</f>
        <v>0</v>
      </c>
      <c r="AO47" s="32">
        <f>IFERROR(AP47/AN47,0)</f>
        <v>0</v>
      </c>
      <c r="AP47" s="32">
        <f>SUM(AP44:AP46)</f>
        <v>0</v>
      </c>
    </row>
    <row r="48" spans="5:42" x14ac:dyDescent="0.3">
      <c r="E48" s="52" t="s">
        <v>36</v>
      </c>
      <c r="F48" s="52" t="str">
        <f>'D Actual'!R20</f>
        <v>Full</v>
      </c>
      <c r="G48" s="52">
        <f>IF(AND(F48="Slack",'D Actual'!S20="%"), 'D Actual'!T20, ('D Actual'!Z20/TTHH!C33)*100)</f>
        <v>100</v>
      </c>
      <c r="H48" s="57" t="str">
        <v>Vacio</v>
      </c>
      <c r="I48" s="52" t="s">
        <v>352</v>
      </c>
      <c r="J48" s="60">
        <v>0</v>
      </c>
      <c r="K48" s="57">
        <v>0</v>
      </c>
      <c r="L48" s="60">
        <v>0</v>
      </c>
      <c r="M48" s="57">
        <v>0</v>
      </c>
      <c r="N48" s="57">
        <v>0</v>
      </c>
      <c r="O48" s="56">
        <f t="shared" si="7"/>
        <v>0</v>
      </c>
      <c r="P48" s="32">
        <f>IFERROR(IF(H48="Vacio",0,IF(H48="Full",TTHH!C33,IF(H48="Slack",TTHH!C33*J48/100,0))),"Error")</f>
        <v>0</v>
      </c>
      <c r="Q48" s="32" t="b">
        <f t="shared" si="8"/>
        <v>0</v>
      </c>
      <c r="S48" s="52" t="s">
        <v>32</v>
      </c>
      <c r="T48" s="56">
        <v>0</v>
      </c>
      <c r="U48" s="52">
        <v>8.9</v>
      </c>
      <c r="V48" s="56">
        <f t="shared" si="11"/>
        <v>0</v>
      </c>
      <c r="W48" s="52">
        <v>130.6</v>
      </c>
      <c r="X48" s="56">
        <f t="shared" si="10"/>
        <v>0</v>
      </c>
      <c r="Y48" s="52">
        <v>14.86</v>
      </c>
      <c r="Z48" s="56">
        <f t="shared" si="12"/>
        <v>0</v>
      </c>
      <c r="AA48" s="56">
        <f>IF(AND(P44&lt;TTHH!D29,P44&lt;&gt;0),TTHH!H29,0)</f>
        <v>0</v>
      </c>
      <c r="AC48" s="44" t="str">
        <f>IFERROR(_xlfn.XLOOKUP(U9,$AG$49:$AG$50,$AH$49:$AH$50)*Y9,"")</f>
        <v/>
      </c>
      <c r="AD48" s="44">
        <f>IF(U9&lt;&gt;"",AC48/Y9,T9)</f>
        <v>10453.033452397769</v>
      </c>
      <c r="AE48" s="45" cm="1">
        <f t="array" ref="AE48:AE52">_xlfn.ANCHORARRAY(AE61)</f>
        <v>12431.5</v>
      </c>
      <c r="AF48" s="44">
        <f>IF(U9&lt;&gt;"",AC48,Q9)</f>
        <v>12431.5</v>
      </c>
      <c r="AG48" s="29" t="s">
        <v>478</v>
      </c>
      <c r="AH48" s="31">
        <f>T108</f>
        <v>45442.480984167531</v>
      </c>
      <c r="AI48" s="42">
        <f ca="1">W108</f>
        <v>93.740131508288613</v>
      </c>
      <c r="AJ48" s="32">
        <f ca="1">AH48*AI48</f>
        <v>4259784.1435187692</v>
      </c>
      <c r="AK48" s="29" t="s">
        <v>6</v>
      </c>
      <c r="AL48" s="48">
        <f ca="1">IFERROR(FORECAST(AF61, OFFSET(TTHH!$AA$10,MATCH(AF61,TTHH!$Y$10:$Y$99,-1)-1,0,2), OFFSET(TTHH!$Y$10,MATCH(AF61,TTHH!$Y$10:$Y$99,-1)-1,0,2)),0)</f>
        <v>158.59</v>
      </c>
    </row>
    <row r="49" spans="5:42" x14ac:dyDescent="0.3">
      <c r="E49" s="52" t="s">
        <v>37</v>
      </c>
      <c r="F49" s="52" t="str">
        <f>'D Actual'!R21</f>
        <v>Full</v>
      </c>
      <c r="G49" s="52">
        <f>IF(AND(F49="Slack",'D Actual'!S21="%"), 'D Actual'!T21, ('D Actual'!Z21/TTHH!C34)*100)</f>
        <v>100</v>
      </c>
      <c r="H49" s="57" t="str">
        <v>Vacio</v>
      </c>
      <c r="I49" s="52" t="s">
        <v>352</v>
      </c>
      <c r="J49" s="60">
        <v>0</v>
      </c>
      <c r="K49" s="57">
        <v>0</v>
      </c>
      <c r="L49" s="60">
        <v>0</v>
      </c>
      <c r="M49" s="57">
        <v>0</v>
      </c>
      <c r="N49" s="57">
        <v>0</v>
      </c>
      <c r="O49" s="56">
        <f t="shared" si="7"/>
        <v>0</v>
      </c>
      <c r="P49" s="32">
        <f>IFERROR(IF(H49="Vacio",0,IF(H49="Full",TTHH!C34,IF(H49="Slack",TTHH!C34*J49/100,0))),"Error")</f>
        <v>0</v>
      </c>
      <c r="Q49" s="32" t="b">
        <f t="shared" si="8"/>
        <v>0</v>
      </c>
      <c r="S49" s="52" t="s">
        <v>33</v>
      </c>
      <c r="T49" s="56">
        <v>0</v>
      </c>
      <c r="U49" s="52">
        <v>1.24</v>
      </c>
      <c r="V49" s="56">
        <f t="shared" si="11"/>
        <v>0</v>
      </c>
      <c r="W49" s="52">
        <v>104.11</v>
      </c>
      <c r="X49" s="56">
        <f t="shared" si="10"/>
        <v>0</v>
      </c>
      <c r="Y49" s="52">
        <v>-7.49</v>
      </c>
      <c r="Z49" s="56">
        <f t="shared" si="12"/>
        <v>0</v>
      </c>
      <c r="AA49" s="56">
        <f>IF(AND(P45&lt;TTHH!D30,P45&lt;&gt;0),TTHH!H30,0)</f>
        <v>0</v>
      </c>
      <c r="AC49" s="44">
        <f ca="1">IFERROR(_xlfn.XLOOKUP(U10,$AG$49:$AG$50,$AH$49:$AH$50)*Y10,"")</f>
        <v>8493.9209094852049</v>
      </c>
      <c r="AD49" s="44">
        <f ca="1">IF(U10&lt;&gt;"",AC49/Y10,T10)</f>
        <v>6665.9767618505466</v>
      </c>
      <c r="AE49" s="45">
        <v>13349.5</v>
      </c>
      <c r="AF49" s="44">
        <f ca="1">IF(U10&lt;&gt;"",AC49,Q10)</f>
        <v>8493.9209094852049</v>
      </c>
      <c r="AG49" s="29" t="str" cm="1">
        <f t="array" ref="AG49">INDEX(_xlfn._xlws.FILTER($U$9:$U$13, $U$9:$U$13&lt;&gt;""), 1)</f>
        <v>B2</v>
      </c>
      <c r="AH49" s="44">
        <f ca="1">((AJ58 - (AJ48 + SUM(AJ51:AJ56))) - ((AH58 - (AH48 + SUM(AH51:AH56))) * AI50)) / (AI49 - AI50)</f>
        <v>6665.9767618505466</v>
      </c>
      <c r="AI49" s="7">
        <f ca="1">VLOOKUP(AG49, $AK$48:$AL$52, 2, FALSE)</f>
        <v>130.02000000000001</v>
      </c>
      <c r="AJ49" s="32">
        <f ca="1">AH49*AI49</f>
        <v>866710.29857580818</v>
      </c>
      <c r="AK49" s="29" t="s">
        <v>7</v>
      </c>
      <c r="AL49" s="48">
        <f ca="1">IFERROR(FORECAST(AF62, OFFSET(TTHH!$AH$10,MATCH(AF62,TTHH!$AF$10:$AF$100,-1)-1,0,2), OFFSET(TTHH!$AF$10,MATCH(AF62,TTHH!$AF$10:$AF$100,-1)-1,0,2)),0)</f>
        <v>130.02000000000001</v>
      </c>
    </row>
    <row r="50" spans="5:42" x14ac:dyDescent="0.3">
      <c r="E50" s="52" t="s">
        <v>38</v>
      </c>
      <c r="F50" s="52" t="str">
        <f>'D Actual'!R22</f>
        <v>Full</v>
      </c>
      <c r="G50" s="52">
        <f>IF(AND(F50="Slack",'D Actual'!S22="%"), 'D Actual'!T22, ('D Actual'!Z22/TTHH!C35)*100)</f>
        <v>100</v>
      </c>
      <c r="H50" s="57" t="str">
        <v>Vacio</v>
      </c>
      <c r="I50" s="52" t="s">
        <v>352</v>
      </c>
      <c r="J50" s="60">
        <v>0</v>
      </c>
      <c r="K50" s="57">
        <v>0</v>
      </c>
      <c r="L50" s="60">
        <v>0</v>
      </c>
      <c r="M50" s="57">
        <v>0</v>
      </c>
      <c r="N50" s="57">
        <v>0</v>
      </c>
      <c r="O50" s="56">
        <f t="shared" si="7"/>
        <v>0</v>
      </c>
      <c r="P50" s="32">
        <f>IFERROR(IF(H50="Vacio",0,IF(H50="Full",TTHH!C35,IF(H50="Slack",TTHH!C35*J50/100,0))),"Error")</f>
        <v>0</v>
      </c>
      <c r="Q50" s="32" t="b">
        <f t="shared" si="8"/>
        <v>0</v>
      </c>
      <c r="S50" s="52" t="s">
        <v>34</v>
      </c>
      <c r="T50" s="56">
        <v>0</v>
      </c>
      <c r="U50" s="52">
        <v>1.24</v>
      </c>
      <c r="V50" s="56">
        <f t="shared" si="11"/>
        <v>0</v>
      </c>
      <c r="W50" s="52">
        <v>104.11</v>
      </c>
      <c r="X50" s="56">
        <f t="shared" si="10"/>
        <v>0</v>
      </c>
      <c r="Y50" s="52">
        <v>7.49</v>
      </c>
      <c r="Z50" s="56">
        <f t="shared" si="12"/>
        <v>0</v>
      </c>
      <c r="AA50" s="56">
        <f>IF(AND(P46&lt;TTHH!D31,P46&lt;&gt;0),TTHH!H31,0)</f>
        <v>0</v>
      </c>
      <c r="AC50" s="44" t="str">
        <f>IFERROR(_xlfn.XLOOKUP(U11,$AG$49:$AG$50,$AH$49:$AH$50)*Y11,"")</f>
        <v/>
      </c>
      <c r="AD50" s="44">
        <f>IF(U11&lt;&gt;"",AC50/Y11,T11)</f>
        <v>11226.447776454837</v>
      </c>
      <c r="AE50" s="45">
        <v>13351.3</v>
      </c>
      <c r="AF50" s="44">
        <f>IF(U11&lt;&gt;"",AC50,Q11)</f>
        <v>13351.3</v>
      </c>
      <c r="AG50" s="29" t="str" cm="1">
        <f t="array" ref="AG50">INDEX(_xlfn._xlws.FILTER($U$9:$U$13, $U$9:$U$13&lt;&gt;""), 2)</f>
        <v>B4</v>
      </c>
      <c r="AH50" s="44">
        <f ca="1">(AH58 - (AH48 + SUM(AH51:AH56))) - AH49</f>
        <v>972.4422539819243</v>
      </c>
      <c r="AI50" s="7">
        <f ca="1">VLOOKUP(AG50, $AK$48:$AL$52, 2, FALSE)</f>
        <v>72.400000000000006</v>
      </c>
      <c r="AJ50" s="32">
        <f ca="1">AH50*AI50</f>
        <v>70404.819188291323</v>
      </c>
      <c r="AK50" s="29" t="s">
        <v>8</v>
      </c>
      <c r="AL50" s="48">
        <f ca="1">IFERROR(FORECAST(AF63, OFFSET(TTHH!$AO$10,MATCH(AF63,TTHH!$AM$10:$AM$100,-1)-1,0,2), OFFSET(TTHH!$AM$10,MATCH(AF63,TTHH!$AM$10:$AM$100,-1)-1,0,2)),0)</f>
        <v>101.22</v>
      </c>
      <c r="AM50" s="29" t="s">
        <v>488</v>
      </c>
      <c r="AN50" s="29" t="s">
        <v>99</v>
      </c>
      <c r="AO50" s="29" t="s">
        <v>15</v>
      </c>
      <c r="AP50" s="29" t="s">
        <v>383</v>
      </c>
    </row>
    <row r="51" spans="5:42" x14ac:dyDescent="0.3">
      <c r="E51" s="52" t="s">
        <v>39</v>
      </c>
      <c r="F51" s="52">
        <f>'D Actual'!R23</f>
        <v>0</v>
      </c>
      <c r="G51" s="52">
        <f>IF(AND(F51="Slack",'D Actual'!S23="%"), 'D Actual'!T23, ('D Actual'!Z23/TTHH!C36)*100)</f>
        <v>0</v>
      </c>
      <c r="H51" s="57" t="str">
        <v>Vacio</v>
      </c>
      <c r="I51" s="52" t="s">
        <v>352</v>
      </c>
      <c r="J51" s="60">
        <v>0</v>
      </c>
      <c r="K51" s="57">
        <v>0</v>
      </c>
      <c r="L51" s="60">
        <v>0</v>
      </c>
      <c r="M51" s="57">
        <v>0</v>
      </c>
      <c r="N51" s="57">
        <v>0</v>
      </c>
      <c r="O51" s="56">
        <f>IFERROR(IF(H51="Vacio",0,IF(H51="Full",P51*Q51,IF(H51="Slack",P51*Q51,0))),"Error")</f>
        <v>0</v>
      </c>
      <c r="P51" s="32">
        <f>IFERROR(IF(H51="Vacio",0,IF(H51="Full",TTHH!C36,IF(H51="Slack",TTHH!C36*J51/100,0))),"Error")</f>
        <v>0</v>
      </c>
      <c r="Q51" s="32" t="b">
        <f t="shared" si="8"/>
        <v>0</v>
      </c>
      <c r="S51" s="52" t="s">
        <v>35</v>
      </c>
      <c r="T51" s="56">
        <v>0</v>
      </c>
      <c r="U51" s="52">
        <v>8.89</v>
      </c>
      <c r="V51" s="56">
        <f t="shared" si="11"/>
        <v>0</v>
      </c>
      <c r="W51" s="52">
        <v>101.82</v>
      </c>
      <c r="X51" s="56">
        <f t="shared" si="10"/>
        <v>0</v>
      </c>
      <c r="Y51" s="52">
        <v>-14.86</v>
      </c>
      <c r="Z51" s="56">
        <f t="shared" si="12"/>
        <v>0</v>
      </c>
      <c r="AA51" s="56">
        <f>IF(AND(P47&lt;TTHH!D32,P47&lt;&gt;0),TTHH!H32,0)</f>
        <v>0</v>
      </c>
      <c r="AC51" s="44">
        <f ca="1">IFERROR(_xlfn.XLOOKUP(U12,$AG$49:$AG$50,$AH$49:$AH$50)*Y12,"")</f>
        <v>1147.4818596986706</v>
      </c>
      <c r="AD51" s="44">
        <f ca="1">IF(U12&lt;&gt;"",AC51/Y12,T12)</f>
        <v>972.4422539819243</v>
      </c>
      <c r="AE51" s="45">
        <v>13349.6</v>
      </c>
      <c r="AF51" s="44">
        <f ca="1">IF(U12&lt;&gt;"",AC51,Q12)</f>
        <v>1147.4818596986706</v>
      </c>
      <c r="AG51" s="29" t="s">
        <v>482</v>
      </c>
      <c r="AH51" s="31">
        <f>IF(S21="A SAL (cm)",0,(-1)*AN18)</f>
        <v>0</v>
      </c>
      <c r="AI51" s="42">
        <f>AO18</f>
        <v>18.196545901265864</v>
      </c>
      <c r="AJ51" s="32">
        <f t="shared" ref="AJ51:AJ56" si="13">AH51*AI51</f>
        <v>0</v>
      </c>
      <c r="AK51" s="29" t="s">
        <v>9</v>
      </c>
      <c r="AL51" s="48">
        <f ca="1">IFERROR(FORECAST(AF64, OFFSET(TTHH!$AV$10,MATCH(AF64,TTHH!$AT$10:$AT$100,-1)-1,0,2), OFFSET(TTHH!$AT$10,MATCH(AF64,TTHH!$AT$10:$AT$100,-1)-1,0,2)),0)</f>
        <v>72.400000000000006</v>
      </c>
      <c r="AM51" s="43" cm="1">
        <f t="array" ref="AM51:AM55">Consumos!AA9:AA13</f>
        <v>0</v>
      </c>
      <c r="AN51" s="43" cm="1">
        <f t="array" ref="AN51:AN55">Consumos!AF9:AF13</f>
        <v>0</v>
      </c>
      <c r="AO51" s="6">
        <f>IFERROR(_xlfn.XLOOKUP(AM51,$AP$92:$AP$96,$AQ$92:$AQ$96),0)</f>
        <v>0</v>
      </c>
      <c r="AP51" s="32">
        <f>IFERROR(AN51*AO51,0)</f>
        <v>0</v>
      </c>
    </row>
    <row r="52" spans="5:42" x14ac:dyDescent="0.3">
      <c r="E52" s="52" t="s">
        <v>40</v>
      </c>
      <c r="F52" s="52" t="str">
        <f>'D Actual'!R24</f>
        <v>Slack</v>
      </c>
      <c r="G52" s="52">
        <f>IF(AND(F52="Slack",'D Actual'!S24="%"), 'D Actual'!T24, ('D Actual'!Z24/TTHH!C37)*100)</f>
        <v>21</v>
      </c>
      <c r="H52" s="57" t="str">
        <v>Vacio</v>
      </c>
      <c r="I52" s="52" t="s">
        <v>352</v>
      </c>
      <c r="J52" s="60">
        <v>0</v>
      </c>
      <c r="K52" s="57">
        <v>0</v>
      </c>
      <c r="L52" s="60">
        <v>0</v>
      </c>
      <c r="M52" s="57">
        <v>0</v>
      </c>
      <c r="N52" s="57">
        <v>0</v>
      </c>
      <c r="O52" s="56">
        <f t="shared" si="7"/>
        <v>0</v>
      </c>
      <c r="P52" s="32">
        <f>IFERROR(IF(H52="Vacio",0,IF(H52="Full",TTHH!C37,IF(H52="Slack",TTHH!C37*J52/100,0))),"Error")</f>
        <v>0</v>
      </c>
      <c r="Q52" s="32" t="b">
        <f t="shared" si="8"/>
        <v>0</v>
      </c>
      <c r="S52" s="52" t="s">
        <v>36</v>
      </c>
      <c r="T52" s="56">
        <v>0</v>
      </c>
      <c r="U52" s="52">
        <v>8.89</v>
      </c>
      <c r="V52" s="56">
        <f t="shared" si="11"/>
        <v>0</v>
      </c>
      <c r="W52" s="52">
        <v>101.82</v>
      </c>
      <c r="X52" s="56">
        <f t="shared" si="10"/>
        <v>0</v>
      </c>
      <c r="Y52" s="52">
        <v>14.86</v>
      </c>
      <c r="Z52" s="56">
        <f t="shared" si="12"/>
        <v>0</v>
      </c>
      <c r="AA52" s="56">
        <f>IF(AND(P48&lt;TTHH!D33,P48&lt;&gt;0),TTHH!H33,0)</f>
        <v>0</v>
      </c>
      <c r="AC52" s="44" t="str">
        <f>IFERROR(_xlfn.XLOOKUP(U13,$AG$49:$AG$50,$AH$49:$AH$50)*Y13,"")</f>
        <v/>
      </c>
      <c r="AD52" s="44">
        <f>IF(U13&lt;&gt;"",AC52/Y13,T13)</f>
        <v>11154.218715314913</v>
      </c>
      <c r="AE52" s="45">
        <v>13265.4</v>
      </c>
      <c r="AF52" s="44">
        <f>IF(U13&lt;&gt;"",AC52,Q13)</f>
        <v>13265.4</v>
      </c>
      <c r="AG52" s="29" t="s">
        <v>483</v>
      </c>
      <c r="AH52" s="31">
        <f>IF(S21="A SAL (cm)",0,(-1)*AN26)</f>
        <v>0</v>
      </c>
      <c r="AI52" s="42">
        <f>AO26</f>
        <v>13.730319200871726</v>
      </c>
      <c r="AJ52" s="32">
        <f t="shared" si="13"/>
        <v>0</v>
      </c>
      <c r="AK52" s="29" t="s">
        <v>10</v>
      </c>
      <c r="AL52" s="49">
        <f ca="1">IFERROR(FORECAST(AF65, OFFSET(TTHH!$BC$10,MATCH(AF65,TTHH!$BA$10:$BA$100,-1)-1,0,2), OFFSET(TTHH!$BA$10,MATCH(AF65,TTHH!$BA$10:$BA$100,-1)-1,0,2)),0)</f>
        <v>43.26</v>
      </c>
      <c r="AM52" s="43">
        <v>0</v>
      </c>
      <c r="AN52" s="43">
        <v>0</v>
      </c>
      <c r="AO52" s="6">
        <f>IFERROR(_xlfn.XLOOKUP(AM52,$AP$92:$AP$96,$AQ$92:$AQ$96),0)</f>
        <v>0</v>
      </c>
      <c r="AP52" s="32">
        <f>IFERROR(AN52*AO52,0)</f>
        <v>0</v>
      </c>
    </row>
    <row r="53" spans="5:42" x14ac:dyDescent="0.3">
      <c r="E53" s="52" t="s">
        <v>41</v>
      </c>
      <c r="F53" s="52" t="str">
        <f>'D Actual'!R25</f>
        <v>Full</v>
      </c>
      <c r="G53" s="52">
        <f>IF(AND(F53="Slack",'D Actual'!S25="%"), 'D Actual'!T25, ('D Actual'!Z25/TTHH!C38)*100)</f>
        <v>100</v>
      </c>
      <c r="H53" s="57" t="str">
        <v>Vacio</v>
      </c>
      <c r="I53" s="52" t="s">
        <v>352</v>
      </c>
      <c r="J53" s="60">
        <v>0</v>
      </c>
      <c r="K53" s="57">
        <v>0</v>
      </c>
      <c r="L53" s="60">
        <v>0</v>
      </c>
      <c r="M53" s="57">
        <v>0</v>
      </c>
      <c r="N53" s="57">
        <v>0</v>
      </c>
      <c r="O53" s="56">
        <f t="shared" si="7"/>
        <v>0</v>
      </c>
      <c r="P53" s="32">
        <f>IFERROR(IF(H53="Vacio",0,IF(H53="Full",TTHH!C38,IF(H53="Slack",TTHH!C38*J53/100,0))),"Error")</f>
        <v>0</v>
      </c>
      <c r="Q53" s="32" t="b">
        <f t="shared" si="8"/>
        <v>0</v>
      </c>
      <c r="S53" s="52" t="s">
        <v>37</v>
      </c>
      <c r="T53" s="56">
        <v>0</v>
      </c>
      <c r="U53" s="52">
        <v>1.24</v>
      </c>
      <c r="V53" s="56">
        <f t="shared" si="11"/>
        <v>0</v>
      </c>
      <c r="W53" s="52">
        <v>75.31</v>
      </c>
      <c r="X53" s="56">
        <f t="shared" si="10"/>
        <v>0</v>
      </c>
      <c r="Y53" s="52">
        <v>-7.49</v>
      </c>
      <c r="Z53" s="56">
        <f t="shared" si="12"/>
        <v>0</v>
      </c>
      <c r="AA53" s="56">
        <f>IF(AND(P49&lt;TTHH!D34,P49&lt;&gt;0),TTHH!H34,0)</f>
        <v>0</v>
      </c>
      <c r="AG53" s="29" t="s">
        <v>485</v>
      </c>
      <c r="AH53" s="31">
        <f>IF(S21="A SAL (cm)",0,AN40*(-1))</f>
        <v>0</v>
      </c>
      <c r="AI53" s="42">
        <f>AO40</f>
        <v>9.005757735924675</v>
      </c>
      <c r="AJ53" s="32">
        <f t="shared" si="13"/>
        <v>0</v>
      </c>
      <c r="AM53" s="43">
        <v>0</v>
      </c>
      <c r="AN53" s="43">
        <v>0</v>
      </c>
      <c r="AO53" s="6">
        <f>IFERROR(_xlfn.XLOOKUP(AM53,$AP$92:$AP$96,$AQ$92:$AQ$96),0)</f>
        <v>0</v>
      </c>
      <c r="AP53" s="32">
        <f>IFERROR(AN53*AO53,0)</f>
        <v>0</v>
      </c>
    </row>
    <row r="54" spans="5:42" x14ac:dyDescent="0.3">
      <c r="E54" s="52" t="s">
        <v>42</v>
      </c>
      <c r="F54" s="52" t="str">
        <f>'D Actual'!R26</f>
        <v>Full</v>
      </c>
      <c r="G54" s="52">
        <f>IF(AND(F54="Slack",'D Actual'!S26="%"), 'D Actual'!T26, ('D Actual'!Z26/TTHH!C39)*100)</f>
        <v>100</v>
      </c>
      <c r="H54" s="57" t="str">
        <v>Vacio</v>
      </c>
      <c r="I54" s="52" t="s">
        <v>352</v>
      </c>
      <c r="J54" s="60">
        <v>0</v>
      </c>
      <c r="K54" s="57">
        <v>0</v>
      </c>
      <c r="L54" s="60">
        <v>0</v>
      </c>
      <c r="M54" s="57">
        <v>0</v>
      </c>
      <c r="N54" s="57">
        <v>0</v>
      </c>
      <c r="O54" s="56">
        <f t="shared" si="7"/>
        <v>0</v>
      </c>
      <c r="P54" s="32">
        <f>IFERROR(IF(H54="Vacio",0,IF(H54="Full",TTHH!C39,IF(H54="Slack",TTHH!C39*J54/100,0))),"Error")</f>
        <v>0</v>
      </c>
      <c r="Q54" s="32" t="b">
        <f t="shared" si="8"/>
        <v>0</v>
      </c>
      <c r="S54" s="52" t="s">
        <v>38</v>
      </c>
      <c r="T54" s="56">
        <v>0</v>
      </c>
      <c r="U54" s="52">
        <v>1.24</v>
      </c>
      <c r="V54" s="56">
        <f t="shared" si="11"/>
        <v>0</v>
      </c>
      <c r="W54" s="52">
        <v>75.31</v>
      </c>
      <c r="X54" s="56">
        <f t="shared" si="10"/>
        <v>0</v>
      </c>
      <c r="Y54" s="52">
        <v>7.49</v>
      </c>
      <c r="Z54" s="56">
        <f t="shared" si="12"/>
        <v>0</v>
      </c>
      <c r="AA54" s="56">
        <f>IF(AND(P50&lt;TTHH!D35,P50&lt;&gt;0),TTHH!H35,0)</f>
        <v>0</v>
      </c>
      <c r="AG54" s="29" t="s">
        <v>486</v>
      </c>
      <c r="AH54" s="31">
        <f>IF(S21="A SAL (cm)",0,(-1)*AN47)</f>
        <v>0</v>
      </c>
      <c r="AI54" s="42">
        <f>AO47</f>
        <v>0</v>
      </c>
      <c r="AJ54" s="32">
        <f t="shared" si="13"/>
        <v>0</v>
      </c>
      <c r="AM54" s="43">
        <v>0</v>
      </c>
      <c r="AN54" s="43">
        <v>0</v>
      </c>
      <c r="AO54" s="6">
        <f>IFERROR(_xlfn.XLOOKUP(AM54,$AP$92:$AP$96,$AQ$92:$AQ$96),0)</f>
        <v>0</v>
      </c>
      <c r="AP54" s="32">
        <f>IFERROR(AN54*AO54,0)</f>
        <v>0</v>
      </c>
    </row>
    <row r="55" spans="5:42" x14ac:dyDescent="0.3">
      <c r="E55" s="52" t="s">
        <v>43</v>
      </c>
      <c r="F55" s="52" t="str">
        <f>'D Actual'!R27</f>
        <v>Full</v>
      </c>
      <c r="G55" s="52">
        <f>IF(AND(F55="Slack",'D Actual'!S27="%"), 'D Actual'!T27, ('D Actual'!Z27/TTHH!C40)*100)</f>
        <v>100</v>
      </c>
      <c r="H55" s="57" t="str">
        <v>Vacio</v>
      </c>
      <c r="I55" s="52" t="s">
        <v>352</v>
      </c>
      <c r="J55" s="60">
        <v>0</v>
      </c>
      <c r="K55" s="57">
        <v>0</v>
      </c>
      <c r="L55" s="60">
        <v>0</v>
      </c>
      <c r="M55" s="57">
        <v>0</v>
      </c>
      <c r="N55" s="57">
        <v>0</v>
      </c>
      <c r="O55" s="56">
        <f t="shared" si="7"/>
        <v>0</v>
      </c>
      <c r="P55" s="32">
        <f>IFERROR(IF(H55="Vacio",0,IF(H55="Full",TTHH!C40,IF(H55="Slack",TTHH!C40*J55/100,0))),"Error")</f>
        <v>0</v>
      </c>
      <c r="Q55" s="32" t="b">
        <f t="shared" si="8"/>
        <v>0</v>
      </c>
      <c r="S55" s="52" t="s">
        <v>39</v>
      </c>
      <c r="T55" s="56">
        <v>0</v>
      </c>
      <c r="U55" s="52">
        <v>8.98</v>
      </c>
      <c r="V55" s="56">
        <f t="shared" si="11"/>
        <v>0</v>
      </c>
      <c r="W55" s="52">
        <v>73.13</v>
      </c>
      <c r="X55" s="56">
        <f t="shared" si="10"/>
        <v>0</v>
      </c>
      <c r="Y55" s="52">
        <v>-14.85</v>
      </c>
      <c r="Z55" s="56">
        <f t="shared" si="12"/>
        <v>0</v>
      </c>
      <c r="AA55" s="56">
        <f>IF(AND(P51&lt;TTHH!D36,P51&lt;&gt;0),TTHH!H36,0)</f>
        <v>0</v>
      </c>
      <c r="AG55" s="29" t="s">
        <v>487</v>
      </c>
      <c r="AH55" s="31">
        <f>IF(S21="A SAL (cm)",0,(-1)*AN62)</f>
        <v>0</v>
      </c>
      <c r="AI55" s="42">
        <f>AO62</f>
        <v>-0.81</v>
      </c>
      <c r="AJ55" s="32">
        <f t="shared" si="13"/>
        <v>0</v>
      </c>
      <c r="AM55" s="43">
        <v>0</v>
      </c>
      <c r="AN55" s="43">
        <v>0</v>
      </c>
      <c r="AO55" s="6">
        <f>IFERROR(_xlfn.XLOOKUP(AM55,$AP$92:$AP$96,$AQ$92:$AQ$96),0)</f>
        <v>0</v>
      </c>
      <c r="AP55" s="32">
        <f>IFERROR(AN55*AO55,0)</f>
        <v>0</v>
      </c>
    </row>
    <row r="56" spans="5:42" x14ac:dyDescent="0.3">
      <c r="E56" s="52" t="s">
        <v>44</v>
      </c>
      <c r="F56" s="52" t="str">
        <f>'D Actual'!R28</f>
        <v>Full</v>
      </c>
      <c r="G56" s="52">
        <f>IF(AND(F56="Slack",'D Actual'!S28="%"), 'D Actual'!T28, ('D Actual'!Z28/TTHH!C41)*100)</f>
        <v>100</v>
      </c>
      <c r="H56" s="57" t="str">
        <v>Vacio</v>
      </c>
      <c r="I56" s="52" t="s">
        <v>352</v>
      </c>
      <c r="J56" s="60">
        <v>0</v>
      </c>
      <c r="K56" s="57">
        <v>0</v>
      </c>
      <c r="L56" s="60">
        <v>0</v>
      </c>
      <c r="M56" s="57">
        <v>0</v>
      </c>
      <c r="N56" s="57">
        <v>0</v>
      </c>
      <c r="O56" s="56">
        <f t="shared" si="7"/>
        <v>0</v>
      </c>
      <c r="P56" s="32">
        <f>IFERROR(IF(H56="Vacio",0,IF(H56="Full",TTHH!C41,IF(H56="Slack",TTHH!C41*J56/100,0))),"Error")</f>
        <v>0</v>
      </c>
      <c r="Q56" s="32" t="b">
        <f t="shared" si="8"/>
        <v>0</v>
      </c>
      <c r="S56" s="52" t="s">
        <v>40</v>
      </c>
      <c r="T56" s="56">
        <v>0</v>
      </c>
      <c r="U56" s="52">
        <v>8.98</v>
      </c>
      <c r="V56" s="56">
        <f t="shared" si="11"/>
        <v>0</v>
      </c>
      <c r="W56" s="52">
        <v>73.13</v>
      </c>
      <c r="X56" s="56">
        <f t="shared" si="10"/>
        <v>0</v>
      </c>
      <c r="Y56" s="52">
        <v>14.85</v>
      </c>
      <c r="Z56" s="56">
        <f t="shared" si="12"/>
        <v>0</v>
      </c>
      <c r="AA56" s="56">
        <f>IF(AND(P52&lt;TTHH!D37,P52&lt;&gt;0),TTHH!H37,0)</f>
        <v>0</v>
      </c>
      <c r="AG56" s="29" t="s">
        <v>488</v>
      </c>
      <c r="AH56" s="31">
        <f>IF(S21="A SAL (cm)",0,(-1)*AN56)</f>
        <v>0</v>
      </c>
      <c r="AI56" s="42">
        <f>AO56</f>
        <v>0</v>
      </c>
      <c r="AJ56" s="32">
        <f t="shared" si="13"/>
        <v>0</v>
      </c>
      <c r="AM56" s="29" t="s">
        <v>488</v>
      </c>
      <c r="AN56" s="32">
        <f>SUM(_xlfn.ANCHORARRAY(AN51))</f>
        <v>0</v>
      </c>
      <c r="AO56" s="32">
        <f>IFERROR(AP56/AN56,0)</f>
        <v>0</v>
      </c>
      <c r="AP56" s="32">
        <f>SUM(AP51:AP55)</f>
        <v>0</v>
      </c>
    </row>
    <row r="57" spans="5:42" x14ac:dyDescent="0.3">
      <c r="E57" s="52" t="s">
        <v>30</v>
      </c>
      <c r="F57" s="52">
        <f>'D Actual'!R29</f>
        <v>0</v>
      </c>
      <c r="G57" s="52">
        <f>IF(AND(F57="Slack",'D Actual'!S29="%"), 'D Actual'!T29, ('D Actual'!Z29/TTHH!C42)*100)</f>
        <v>0</v>
      </c>
      <c r="H57" s="57" t="str">
        <v>Vacio</v>
      </c>
      <c r="I57" s="52" t="s">
        <v>352</v>
      </c>
      <c r="J57" s="60">
        <v>0</v>
      </c>
      <c r="K57" s="57">
        <v>0</v>
      </c>
      <c r="L57" s="60">
        <v>0</v>
      </c>
      <c r="M57" s="57">
        <v>0</v>
      </c>
      <c r="N57" s="57">
        <v>0</v>
      </c>
      <c r="O57" s="56">
        <f t="shared" si="7"/>
        <v>0</v>
      </c>
      <c r="P57" s="32">
        <f>IFERROR(IF(H57="Vacio",0,IF(H57="Full",TTHH!C42,IF(H57="Slack",TTHH!C42*J57/100,0))),"Error")</f>
        <v>0</v>
      </c>
      <c r="Q57" s="32" t="b">
        <f t="shared" si="8"/>
        <v>0</v>
      </c>
      <c r="S57" s="52" t="s">
        <v>41</v>
      </c>
      <c r="T57" s="56">
        <v>0</v>
      </c>
      <c r="U57" s="52">
        <v>1.38</v>
      </c>
      <c r="V57" s="56">
        <f t="shared" si="11"/>
        <v>0</v>
      </c>
      <c r="W57" s="52">
        <v>49.43</v>
      </c>
      <c r="X57" s="56">
        <f t="shared" si="10"/>
        <v>0</v>
      </c>
      <c r="Y57" s="52">
        <v>-6.38</v>
      </c>
      <c r="Z57" s="56">
        <f t="shared" si="12"/>
        <v>0</v>
      </c>
      <c r="AA57" s="56">
        <f>IF(AND(P53&lt;TTHH!D38,P53&lt;&gt;0),TTHH!H38,0)</f>
        <v>0</v>
      </c>
      <c r="AI57" s="41"/>
    </row>
    <row r="58" spans="5:42" x14ac:dyDescent="0.3">
      <c r="E58" s="52" t="s">
        <v>29</v>
      </c>
      <c r="F58" s="52">
        <f>'D Actual'!R30</f>
        <v>0</v>
      </c>
      <c r="G58" s="52">
        <f>IF(AND(F58="Slack",'D Actual'!S30="%"), 'D Actual'!T30, ('D Actual'!Z30/TTHH!C43)*100)</f>
        <v>0</v>
      </c>
      <c r="H58" s="57" t="str">
        <v>Vacio</v>
      </c>
      <c r="I58" s="52" t="s">
        <v>352</v>
      </c>
      <c r="J58" s="60">
        <v>0</v>
      </c>
      <c r="K58" s="57">
        <v>0</v>
      </c>
      <c r="L58" s="60">
        <v>0</v>
      </c>
      <c r="M58" s="57">
        <v>0</v>
      </c>
      <c r="N58" s="57">
        <v>0</v>
      </c>
      <c r="O58" s="56">
        <f t="shared" si="7"/>
        <v>0</v>
      </c>
      <c r="P58" s="32">
        <f>IFERROR(IF(H58="Vacio",0,IF(H58="Full",TTHH!C43,IF(H58="Slack",TTHH!C43*J58/100,0))),"Error")</f>
        <v>0</v>
      </c>
      <c r="Q58" s="32" t="b">
        <f t="shared" si="8"/>
        <v>0</v>
      </c>
      <c r="S58" s="52" t="s">
        <v>42</v>
      </c>
      <c r="T58" s="56">
        <v>0</v>
      </c>
      <c r="U58" s="52">
        <v>1.38</v>
      </c>
      <c r="V58" s="56">
        <f t="shared" si="11"/>
        <v>0</v>
      </c>
      <c r="W58" s="52">
        <v>49.43</v>
      </c>
      <c r="X58" s="56">
        <f t="shared" si="10"/>
        <v>0</v>
      </c>
      <c r="Y58" s="52">
        <v>6.38</v>
      </c>
      <c r="Z58" s="56">
        <f t="shared" si="12"/>
        <v>0</v>
      </c>
      <c r="AA58" s="56">
        <f>IF(AND(P54&lt;TTHH!D39,P54&lt;&gt;0),TTHH!H39,0)</f>
        <v>0</v>
      </c>
      <c r="AG58" s="29" t="s">
        <v>484</v>
      </c>
      <c r="AH58" s="31">
        <f ca="1">IF(S21="A SAL (cm)",'D Máximos'!I13,IF('Carga y Reparto'!S21="A LLEG (cm)",'D Máximos'!Q13,0))</f>
        <v>53080.9</v>
      </c>
      <c r="AI58" s="42">
        <f ca="1">V23</f>
        <v>97.905258977953807</v>
      </c>
      <c r="AJ58" s="32">
        <f ca="1">AH58*AI58</f>
        <v>5196899.2612828687</v>
      </c>
    </row>
    <row r="59" spans="5:42" x14ac:dyDescent="0.3">
      <c r="E59" s="52" t="s">
        <v>28</v>
      </c>
      <c r="F59" s="52">
        <f>'D Actual'!R31</f>
        <v>0</v>
      </c>
      <c r="G59" s="52">
        <f>IF(AND(F59="Slack",'D Actual'!S31="%"), 'D Actual'!T31, ('D Actual'!Z31/TTHH!C44)*100)</f>
        <v>0</v>
      </c>
      <c r="H59" s="57" t="str">
        <v>Vacio</v>
      </c>
      <c r="I59" s="52" t="s">
        <v>352</v>
      </c>
      <c r="J59" s="60">
        <v>0</v>
      </c>
      <c r="K59" s="57">
        <v>0</v>
      </c>
      <c r="L59" s="60">
        <v>0</v>
      </c>
      <c r="M59" s="57">
        <v>0</v>
      </c>
      <c r="N59" s="57">
        <v>0</v>
      </c>
      <c r="O59" s="56">
        <f t="shared" si="7"/>
        <v>0</v>
      </c>
      <c r="P59" s="32">
        <f>IFERROR(IF(H59="Vacio",0,IF(H59="Full",TTHH!C44,IF(H59="Slack",TTHH!C44*J59/100,0))),"Error")</f>
        <v>0</v>
      </c>
      <c r="Q59" s="32" t="b">
        <f t="shared" si="8"/>
        <v>0</v>
      </c>
      <c r="S59" s="52" t="s">
        <v>43</v>
      </c>
      <c r="T59" s="56">
        <v>0</v>
      </c>
      <c r="U59" s="52">
        <v>5.76</v>
      </c>
      <c r="V59" s="56">
        <f t="shared" si="11"/>
        <v>0</v>
      </c>
      <c r="W59" s="52">
        <v>41</v>
      </c>
      <c r="X59" s="56">
        <f t="shared" si="10"/>
        <v>0</v>
      </c>
      <c r="Y59" s="52">
        <v>-12.97</v>
      </c>
      <c r="Z59" s="56">
        <f t="shared" si="12"/>
        <v>0</v>
      </c>
      <c r="AA59" s="56">
        <f>IF(AND(P55&lt;TTHH!D40,P55&lt;&gt;0),TTHH!H40,0)</f>
        <v>0</v>
      </c>
      <c r="AM59" s="29" t="s">
        <v>487</v>
      </c>
      <c r="AN59" s="29" t="s">
        <v>99</v>
      </c>
      <c r="AO59" s="29" t="s">
        <v>15</v>
      </c>
      <c r="AP59" s="29" t="s">
        <v>383</v>
      </c>
    </row>
    <row r="60" spans="5:42" x14ac:dyDescent="0.3">
      <c r="E60" s="52" t="s">
        <v>27</v>
      </c>
      <c r="F60" s="52"/>
      <c r="G60" s="52"/>
      <c r="H60" s="57" t="str">
        <v>Vacio</v>
      </c>
      <c r="I60" s="52"/>
      <c r="J60" s="60">
        <v>0</v>
      </c>
      <c r="K60" s="57">
        <v>0</v>
      </c>
      <c r="L60" s="60">
        <v>0</v>
      </c>
      <c r="M60" s="57">
        <v>0</v>
      </c>
      <c r="N60" s="57">
        <v>0</v>
      </c>
      <c r="O60" s="56">
        <f t="shared" si="7"/>
        <v>0</v>
      </c>
      <c r="P60" s="32">
        <f>IFERROR(IF(H60="Vacio",0,IF(H60="Full",TTHH!C45,IF(H60="Slack",TTHH!C45*J60/100,0))),"Error")</f>
        <v>0</v>
      </c>
      <c r="Q60" s="32" t="b">
        <f t="shared" si="8"/>
        <v>0</v>
      </c>
      <c r="S60" s="52" t="s">
        <v>44</v>
      </c>
      <c r="T60" s="56">
        <v>0</v>
      </c>
      <c r="U60" s="52">
        <v>5.76</v>
      </c>
      <c r="V60" s="56">
        <f t="shared" si="11"/>
        <v>0</v>
      </c>
      <c r="W60" s="52">
        <v>41</v>
      </c>
      <c r="X60" s="56">
        <f t="shared" si="10"/>
        <v>0</v>
      </c>
      <c r="Y60" s="52">
        <v>12.97</v>
      </c>
      <c r="Z60" s="56">
        <f t="shared" si="12"/>
        <v>0</v>
      </c>
      <c r="AA60" s="56">
        <f>IF(AND(P56&lt;TTHH!D41,P56&lt;&gt;0),TTHH!H41,0)</f>
        <v>0</v>
      </c>
      <c r="AC60" s="29" t="s">
        <v>128</v>
      </c>
      <c r="AD60" s="29" t="s">
        <v>503</v>
      </c>
      <c r="AE60" s="29" t="s">
        <v>502</v>
      </c>
      <c r="AF60" s="29" t="s">
        <v>360</v>
      </c>
      <c r="AH60" s="29" t="s">
        <v>99</v>
      </c>
      <c r="AI60" s="29" t="s">
        <v>15</v>
      </c>
      <c r="AJ60" s="29" t="s">
        <v>383</v>
      </c>
      <c r="AL60" s="29" t="s">
        <v>15</v>
      </c>
      <c r="AM60" s="43" t="str" cm="1">
        <f t="array" ref="AM60:AM61">Consumos!AA17:AA18</f>
        <v>FW Tk P</v>
      </c>
      <c r="AN60" s="43" cm="1">
        <f t="array" ref="AN60:AN61">Consumos!AF17:AF18</f>
        <v>34.065688931069772</v>
      </c>
      <c r="AO60" s="6">
        <f>IFERROR(_xlfn.XLOOKUP(AM60,$AS$92:$AS$93,$AT$92:$AT$93),0)</f>
        <v>-0.81</v>
      </c>
      <c r="AP60" s="32">
        <f>IFERROR(AN60*AO60,0)</f>
        <v>-27.593208034166516</v>
      </c>
    </row>
    <row r="61" spans="5:42" x14ac:dyDescent="0.3">
      <c r="S61" s="52" t="s">
        <v>30</v>
      </c>
      <c r="T61" s="56">
        <v>0</v>
      </c>
      <c r="U61" s="52">
        <v>15.71</v>
      </c>
      <c r="V61" s="56">
        <f t="shared" si="11"/>
        <v>0</v>
      </c>
      <c r="W61" s="52">
        <v>42.71</v>
      </c>
      <c r="X61" s="56">
        <f t="shared" si="10"/>
        <v>0</v>
      </c>
      <c r="Y61" s="52">
        <v>-14.54</v>
      </c>
      <c r="Z61" s="56">
        <f t="shared" si="12"/>
        <v>0</v>
      </c>
      <c r="AA61" s="56">
        <f>IF(AND(P57&lt;TTHH!D42,P57&lt;&gt;0),TTHH!H42,0)</f>
        <v>0</v>
      </c>
      <c r="AC61" s="44" t="str">
        <f>IFERROR(_xlfn.XLOOKUP(U9,$AG$62:$AG$63,$AH$62:$AH$63)*Y9,"")</f>
        <v/>
      </c>
      <c r="AD61" s="44">
        <f>IF(U9&lt;&gt;"",AC61/Y9,T9)</f>
        <v>10453.033452397769</v>
      </c>
      <c r="AE61" s="45" cm="1">
        <f t="array" ref="AE61:AE65">AE74:AE78</f>
        <v>12431.5</v>
      </c>
      <c r="AF61" s="44">
        <f>IF(U9&lt;&gt;"",AC61,Q9)</f>
        <v>12431.5</v>
      </c>
      <c r="AG61" s="29" t="s">
        <v>478</v>
      </c>
      <c r="AH61" s="31">
        <f>T108</f>
        <v>45442.480984167531</v>
      </c>
      <c r="AI61" s="42">
        <f ca="1">W108</f>
        <v>93.740131508288613</v>
      </c>
      <c r="AJ61" s="32">
        <f ca="1">AH61*AI61</f>
        <v>4259784.1435187692</v>
      </c>
      <c r="AK61" s="29" t="s">
        <v>6</v>
      </c>
      <c r="AL61" s="48">
        <f ca="1">IFERROR(FORECAST('Carga y Reparto'!AF74, OFFSET(TTHH!$AA$10,MATCH('Carga y Reparto'!AF74,TTHH!$Y$10:$Y$99,-1)-1,0,2), OFFSET(TTHH!$Y$10,MATCH('Carga y Reparto'!AF74,TTHH!$Y$10:$Y$99,-1)-1,0,2)),0)</f>
        <v>158.59</v>
      </c>
      <c r="AM61" s="43">
        <v>0</v>
      </c>
      <c r="AN61" s="43">
        <v>0</v>
      </c>
      <c r="AO61" s="6">
        <f>IFERROR(_xlfn.XLOOKUP(AM61,$AS$92:$AS$93,$AT$92:$AT$93),0)</f>
        <v>0</v>
      </c>
      <c r="AP61" s="32">
        <f>IFERROR(AN61*AO61,0)</f>
        <v>0</v>
      </c>
    </row>
    <row r="62" spans="5:42" x14ac:dyDescent="0.3">
      <c r="E62" s="54" t="s">
        <v>63</v>
      </c>
      <c r="F62" s="52" t="s">
        <v>464</v>
      </c>
      <c r="G62" s="52" t="s">
        <v>465</v>
      </c>
      <c r="H62" s="52" t="s">
        <v>362</v>
      </c>
      <c r="I62" s="52"/>
      <c r="J62" s="52" t="s">
        <v>352</v>
      </c>
      <c r="K62" s="52" t="s">
        <v>359</v>
      </c>
      <c r="L62" s="52">
        <f>'D Actual'!AG7</f>
        <v>0.9</v>
      </c>
      <c r="M62" s="52"/>
      <c r="N62" s="52"/>
      <c r="O62" s="52" t="s">
        <v>469</v>
      </c>
      <c r="P62" s="29" t="s">
        <v>360</v>
      </c>
      <c r="Q62" s="29" t="s">
        <v>359</v>
      </c>
      <c r="S62" s="52" t="s">
        <v>29</v>
      </c>
      <c r="T62" s="56">
        <v>0</v>
      </c>
      <c r="U62" s="52">
        <v>15.71</v>
      </c>
      <c r="V62" s="56">
        <f t="shared" si="11"/>
        <v>0</v>
      </c>
      <c r="W62" s="52">
        <v>42.71</v>
      </c>
      <c r="X62" s="56">
        <f t="shared" si="10"/>
        <v>0</v>
      </c>
      <c r="Y62" s="52">
        <v>14.54</v>
      </c>
      <c r="Z62" s="56">
        <f t="shared" si="12"/>
        <v>0</v>
      </c>
      <c r="AA62" s="56">
        <f>IF(AND(P58&lt;TTHH!D43,P58&lt;&gt;0),TTHH!H43,0)</f>
        <v>0</v>
      </c>
      <c r="AC62" s="44">
        <f ca="1">IFERROR(_xlfn.XLOOKUP(U10,$AG$62:$AG$63,$AH$62:$AH$63)*Y10,"")</f>
        <v>8493.9209094852049</v>
      </c>
      <c r="AD62" s="44">
        <f ca="1">IF(U10&lt;&gt;"",AC62/Y10,T10)</f>
        <v>6665.9767618505466</v>
      </c>
      <c r="AE62" s="45">
        <v>13349.5</v>
      </c>
      <c r="AF62" s="44">
        <f ca="1">IF(U10&lt;&gt;"",AC62,Q10)</f>
        <v>8493.9209094852049</v>
      </c>
      <c r="AG62" s="29" t="str" cm="1">
        <f t="array" ref="AG62">INDEX(_xlfn._xlws.FILTER($U$9:$U$13, $U$9:$U$13&lt;&gt;""), 1)</f>
        <v>B2</v>
      </c>
      <c r="AH62" s="44">
        <f ca="1">((AJ71 - (AJ61 + SUM(AJ64:AJ69))) - ((AH71 - (AH61 + SUM(AH64:AH69))) * AI63)) / (AI62 - AI63)</f>
        <v>6665.9767618505466</v>
      </c>
      <c r="AI62" s="7">
        <f ca="1">VLOOKUP(AG62, $AK$61:$AL$65, 2, FALSE)</f>
        <v>130.02000000000001</v>
      </c>
      <c r="AJ62" s="32">
        <f ca="1">AH62*AI62</f>
        <v>866710.29857580818</v>
      </c>
      <c r="AK62" s="29" t="s">
        <v>7</v>
      </c>
      <c r="AL62" s="48">
        <f ca="1">IFERROR(FORECAST('Carga y Reparto'!AF75, OFFSET(TTHH!$AH$10,MATCH('Carga y Reparto'!AF75,TTHH!$AF$10:$AF$100,-1)-1,0,2), OFFSET(TTHH!$AF$10,MATCH('Carga y Reparto'!AF75,TTHH!$AF$10:$AF$100,-1)-1,0,2)),0)</f>
        <v>130.02000000000001</v>
      </c>
      <c r="AM62" s="29" t="s">
        <v>483</v>
      </c>
      <c r="AN62" s="32">
        <f>SUM(_xlfn.ANCHORARRAY(AN60))</f>
        <v>34.065688931069772</v>
      </c>
      <c r="AO62" s="32">
        <f>IFERROR(AP62/AN62,0)</f>
        <v>-0.81</v>
      </c>
      <c r="AP62" s="32">
        <f>SUM(AP60:AP61)</f>
        <v>-27.593208034166516</v>
      </c>
    </row>
    <row r="63" spans="5:42" x14ac:dyDescent="0.3">
      <c r="E63" s="52" t="s">
        <v>65</v>
      </c>
      <c r="F63" s="52">
        <f>'D Actual'!AC8</f>
        <v>0</v>
      </c>
      <c r="G63" s="52">
        <f>IF(AND(F63="Slack",'D Actual'!AD8="%"),'D Actual'!AE8, ('D Actual'!AK8/TTHH!C80)*100)</f>
        <v>0</v>
      </c>
      <c r="H63" s="57" t="str" cm="1">
        <f t="array" ref="H63:H72">Interfaz!H224:H233</f>
        <v>Full</v>
      </c>
      <c r="I63" s="52" t="s">
        <v>352</v>
      </c>
      <c r="J63" s="60" cm="1">
        <f t="array" ref="J63:J72">Interfaz!I224:I233</f>
        <v>0</v>
      </c>
      <c r="K63" s="57" t="str" cm="1">
        <f t="array" ref="K63:K72">Interfaz!J224:J233</f>
        <v>Distinta</v>
      </c>
      <c r="L63" s="60" cm="1">
        <f t="array" ref="L63:L72">Interfaz!K224:K233</f>
        <v>1</v>
      </c>
      <c r="M63" s="57" t="str" cm="1">
        <f t="array" ref="M63:M72">Interfaz!L224:L233</f>
        <v>Tm</v>
      </c>
      <c r="N63" s="57" t="str" cm="1">
        <f t="array" ref="N63:N72">Interfaz!M224:M233</f>
        <v>m3</v>
      </c>
      <c r="O63" s="56">
        <f>IFERROR(IF(H63="Vacio",0,IF(H63="Full",P63*Q63,IF(H63="Slack",P63*Q63,0))),"Error")</f>
        <v>17.100000000000001</v>
      </c>
      <c r="P63" s="32">
        <f>IFERROR(IF(H63="Vacio",0,IF(H63="Full",TTHH!C80,IF(H63="Slack",TTHH!C80*J63/100,0))),"Error")</f>
        <v>17.100000000000001</v>
      </c>
      <c r="Q63" s="32">
        <f>IF(K63="Igual",$L$62,IF(K63="Distinta",IF(AND(M63="Tm",N63="m3"),L63,IF(AND(M63="Tm",N63="m3"),L63,IF(AND(M63="Tm",N63="ft3"),L63/0.028316,IF(AND(M63="LT",N63="m3"),L63*1.01605,IF(AND(M63="LT",N63="ft3"),L63*(1.01605/0.028316),0)))))))</f>
        <v>1</v>
      </c>
      <c r="S63" s="52" t="s">
        <v>28</v>
      </c>
      <c r="T63" s="56">
        <v>0</v>
      </c>
      <c r="U63" s="52">
        <v>11.53</v>
      </c>
      <c r="V63" s="56">
        <f t="shared" si="11"/>
        <v>0</v>
      </c>
      <c r="W63" s="52">
        <v>2.33</v>
      </c>
      <c r="X63" s="56">
        <f t="shared" si="10"/>
        <v>0</v>
      </c>
      <c r="Y63" s="52">
        <v>0</v>
      </c>
      <c r="Z63" s="56">
        <f t="shared" si="12"/>
        <v>0</v>
      </c>
      <c r="AA63" s="56">
        <f>IF(AND(P59&lt;TTHH!D44,P59&lt;&gt;0),TTHH!H44,0)</f>
        <v>0</v>
      </c>
      <c r="AC63" s="44" t="str">
        <f>IFERROR(_xlfn.XLOOKUP(U11,$AG$62:$AG$63,$AH$62:$AH$63)*Y11,"")</f>
        <v/>
      </c>
      <c r="AD63" s="44">
        <f>IF(U11&lt;&gt;"",AC63/Y11,T11)</f>
        <v>11226.447776454837</v>
      </c>
      <c r="AE63" s="45">
        <v>13351.3</v>
      </c>
      <c r="AF63" s="44">
        <f>IF(U11&lt;&gt;"",AC63,Q11)</f>
        <v>13351.3</v>
      </c>
      <c r="AG63" s="29" t="str" cm="1">
        <f t="array" ref="AG63">INDEX(_xlfn._xlws.FILTER($U$9:$U$13, $U$9:$U$13&lt;&gt;""), 2)</f>
        <v>B4</v>
      </c>
      <c r="AH63" s="44">
        <f ca="1">(AH71 - (AH61 + SUM(AH64:AH69))) - AH62</f>
        <v>972.4422539819243</v>
      </c>
      <c r="AI63" s="7">
        <f ca="1">VLOOKUP(AG63, $AK$61:$AL$65, 2, FALSE)</f>
        <v>72.400000000000006</v>
      </c>
      <c r="AJ63" s="32">
        <f ca="1">AH63*AI63</f>
        <v>70404.819188291323</v>
      </c>
      <c r="AK63" s="29" t="s">
        <v>8</v>
      </c>
      <c r="AL63" s="48">
        <f ca="1">IFERROR(FORECAST('Carga y Reparto'!AF76, OFFSET(TTHH!$AO$10,MATCH('Carga y Reparto'!AF76,TTHH!$AM$10:$AM$100,-1)-1,0,2), OFFSET(TTHH!$AM$10,MATCH('Carga y Reparto'!AF76,TTHH!$AM$10:$AM$100,-1)-1,0,2)),0)</f>
        <v>101.22</v>
      </c>
    </row>
    <row r="64" spans="5:42" x14ac:dyDescent="0.3">
      <c r="E64" s="52" t="s">
        <v>66</v>
      </c>
      <c r="F64" s="52" t="str">
        <f>'D Actual'!AC9</f>
        <v>Full</v>
      </c>
      <c r="G64" s="52">
        <f>IF(AND(F64="Slack",'D Actual'!AD9="%"),'D Actual'!AE9, ('D Actual'!AK9/TTHH!C81)*100)</f>
        <v>100</v>
      </c>
      <c r="H64" s="57" t="str">
        <v>Full</v>
      </c>
      <c r="I64" s="52" t="s">
        <v>352</v>
      </c>
      <c r="J64" s="60">
        <v>0</v>
      </c>
      <c r="K64" s="57" t="str">
        <v>Igual</v>
      </c>
      <c r="L64" s="60">
        <v>0</v>
      </c>
      <c r="M64" s="57">
        <v>0</v>
      </c>
      <c r="N64" s="57">
        <v>0</v>
      </c>
      <c r="O64" s="56">
        <f t="shared" ref="O64:O72" si="14">IFERROR(IF(H64="Vacio",0,IF(H64="Full",P64*Q64,IF(H64="Slack",P64*Q64,0))),"Error")</f>
        <v>16.829999999999998</v>
      </c>
      <c r="P64" s="32">
        <f>IFERROR(IF(H64="Vacio",0,IF(H64="Full",TTHH!C81,IF(H64="Slack",TTHH!C81*J64/100,0))),"Error")</f>
        <v>18.7</v>
      </c>
      <c r="Q64" s="32">
        <f>IF(K64="Igual",$L$62,IF(K64="Distinta",IF(AND(M64="Tm",N64="m3"),L64,IF(AND(M64="Tm",N64="m3"),L64,IF(AND(M64="Tm",N64="ft3"),L64/0.028316,IF(AND(M64="LT",N64="m3"),L64*1.01605,IF(AND(M64="LT",N64="ft3"),L64*(1.01605/0.028316),0)))))))</f>
        <v>0.9</v>
      </c>
      <c r="S64" s="52" t="s">
        <v>27</v>
      </c>
      <c r="T64" s="56"/>
      <c r="U64" s="52">
        <v>10.210000000000001</v>
      </c>
      <c r="V64" s="56">
        <f t="shared" si="11"/>
        <v>0</v>
      </c>
      <c r="W64" s="52">
        <v>101.22</v>
      </c>
      <c r="X64" s="56">
        <f t="shared" si="10"/>
        <v>0</v>
      </c>
      <c r="Y64" s="52">
        <v>0</v>
      </c>
      <c r="Z64" s="56">
        <f t="shared" si="12"/>
        <v>0</v>
      </c>
      <c r="AA64" s="56">
        <f>IF(AND(P60&lt;TTHH!D45,P60&lt;&gt;0),TTHH!H45,0)</f>
        <v>0</v>
      </c>
      <c r="AC64" s="44">
        <f ca="1">IFERROR(_xlfn.XLOOKUP(U12,$AG$62:$AG$63,$AH$62:$AH$63)*Y12,"")</f>
        <v>1147.4818596986706</v>
      </c>
      <c r="AD64" s="44">
        <f ca="1">IF(U12&lt;&gt;"",AC64/Y12,T12)</f>
        <v>972.4422539819243</v>
      </c>
      <c r="AE64" s="45">
        <v>13349.6</v>
      </c>
      <c r="AF64" s="44">
        <f ca="1">IF(U12&lt;&gt;"",AC64,Q12)</f>
        <v>1147.4818596986706</v>
      </c>
      <c r="AG64" s="29" t="s">
        <v>482</v>
      </c>
      <c r="AH64" s="31">
        <f>IF(S21="A SAL (cm)",0,(-1)*AN18)</f>
        <v>0</v>
      </c>
      <c r="AI64" s="42">
        <f>AO18</f>
        <v>18.196545901265864</v>
      </c>
      <c r="AJ64" s="32">
        <f t="shared" ref="AJ64:AJ69" si="15">AH64*AI64</f>
        <v>0</v>
      </c>
      <c r="AK64" s="29" t="s">
        <v>9</v>
      </c>
      <c r="AL64" s="48">
        <f ca="1">IFERROR(FORECAST('Carga y Reparto'!AF77, OFFSET(TTHH!$AV$10,MATCH('Carga y Reparto'!AF77,TTHH!$AT$10:$AT$100,-1)-1,0,2), OFFSET(TTHH!$AT$10,MATCH('Carga y Reparto'!AF77,TTHH!$AT$10:$AT$100,-1)-1,0,2)),0)</f>
        <v>72.400000000000006</v>
      </c>
    </row>
    <row r="65" spans="5:38" x14ac:dyDescent="0.3">
      <c r="E65" s="52" t="s">
        <v>67</v>
      </c>
      <c r="F65" s="52" t="str">
        <f>'D Actual'!AC10</f>
        <v>Slack</v>
      </c>
      <c r="G65" s="52">
        <f>IF(AND(F65="Slack",'D Actual'!AD10="%"),'D Actual'!AE10, ('D Actual'!AK10/TTHH!C82)*100)</f>
        <v>70</v>
      </c>
      <c r="H65" s="57" t="str">
        <v>Full</v>
      </c>
      <c r="I65" s="52" t="s">
        <v>352</v>
      </c>
      <c r="J65" s="60">
        <v>0</v>
      </c>
      <c r="K65" s="57" t="str">
        <v>Igual</v>
      </c>
      <c r="L65" s="60">
        <v>0</v>
      </c>
      <c r="M65" s="57">
        <v>0</v>
      </c>
      <c r="N65" s="57">
        <v>0</v>
      </c>
      <c r="O65" s="56">
        <f t="shared" si="14"/>
        <v>18.18</v>
      </c>
      <c r="P65" s="32">
        <f>IFERROR(IF(H65="Vacio",0,IF(H65="Full",TTHH!C82,IF(H65="Slack",TTHH!C82*J65/100,0))),"Error")</f>
        <v>20.2</v>
      </c>
      <c r="Q65" s="32">
        <f>IF(K65="Igual",$L$62,IF(K65="Distinta",IF(AND(M65="Tm",N65="m3"),L65,IF(AND(M65="Tm",N65="m3"),L65,IF(AND(M65="Tm",N65="ft3"),L65/0.028316,IF(AND(M65="LT",N65="m3"),L65*1.01605,IF(AND(M65="LT",N65="ft3"),L65*(1.01605/0.028316),0)))))))</f>
        <v>0.9</v>
      </c>
      <c r="S65" s="54" t="s">
        <v>46</v>
      </c>
      <c r="T65" s="38"/>
      <c r="U65" s="38"/>
      <c r="V65" s="38"/>
      <c r="W65" s="38"/>
      <c r="X65" s="38"/>
      <c r="Y65" s="38"/>
      <c r="Z65" s="38"/>
      <c r="AA65" s="38"/>
      <c r="AC65" s="44" t="str">
        <f>IFERROR(_xlfn.XLOOKUP(U13,$AG$62:$AG$63,$AH$62:$AH$63)*Y13,"")</f>
        <v/>
      </c>
      <c r="AD65" s="44">
        <f>IF(U13&lt;&gt;"",AC65/Y13,T13)</f>
        <v>11154.218715314913</v>
      </c>
      <c r="AE65" s="45">
        <v>13265.4</v>
      </c>
      <c r="AF65" s="44">
        <f>IF(U13&lt;&gt;"",AC65,Q13)</f>
        <v>13265.4</v>
      </c>
      <c r="AG65" s="29" t="s">
        <v>483</v>
      </c>
      <c r="AH65" s="31">
        <f>IF(S21="A SAL (cm)",0,(-1)*AN26)</f>
        <v>0</v>
      </c>
      <c r="AI65" s="42">
        <f>AO26</f>
        <v>13.730319200871726</v>
      </c>
      <c r="AJ65" s="32">
        <f t="shared" si="15"/>
        <v>0</v>
      </c>
      <c r="AK65" s="29" t="s">
        <v>10</v>
      </c>
      <c r="AL65" s="48">
        <f ca="1">IFERROR(FORECAST('Carga y Reparto'!AF78, OFFSET(TTHH!$BC$10,MATCH('Carga y Reparto'!AF78,TTHH!$BA$10:$BA$100,-1)-1,0,2), OFFSET(TTHH!$BA$10,MATCH('Carga y Reparto'!AF78,TTHH!$BA$10:$BA$100,-1)-1,0,2)),0)</f>
        <v>43.26</v>
      </c>
    </row>
    <row r="66" spans="5:38" x14ac:dyDescent="0.3">
      <c r="E66" s="52" t="s">
        <v>68</v>
      </c>
      <c r="F66" s="52" t="str">
        <f>'D Actual'!AC11</f>
        <v>Slack</v>
      </c>
      <c r="G66" s="52">
        <f>IF(AND(F66="Slack",'D Actual'!AD11="%"),'D Actual'!AE11, ('D Actual'!AK11/TTHH!C83)*100)</f>
        <v>60</v>
      </c>
      <c r="H66" s="57" t="str">
        <v>Full</v>
      </c>
      <c r="I66" s="52" t="s">
        <v>352</v>
      </c>
      <c r="J66" s="60">
        <v>0</v>
      </c>
      <c r="K66" s="57" t="str">
        <v>Igual</v>
      </c>
      <c r="L66" s="60">
        <v>0</v>
      </c>
      <c r="M66" s="57">
        <v>0</v>
      </c>
      <c r="N66" s="57">
        <v>0</v>
      </c>
      <c r="O66" s="56">
        <f t="shared" si="14"/>
        <v>39.96</v>
      </c>
      <c r="P66" s="32">
        <f>IFERROR(IF(H66="Vacio",0,IF(H66="Full",TTHH!C83,IF(H66="Slack",TTHH!C83*J66/100,0))),"Error")</f>
        <v>44.4</v>
      </c>
      <c r="Q66" s="32">
        <f t="shared" ref="Q66:Q72" si="16">IF(K66="Igual",$L$62,IF(K66="Distinta",IF(AND(M66="Tm",N66="m3"),L66,IF(AND(M66="Tm",N66="m3"),L66,IF(AND(M66="Tm",N66="ft3"),L66/0.028316,IF(AND(M66="LT",N66="m3"),L66*1.01605,IF(AND(M66="LT",N66="ft3"),L66*(1.01605/0.028316),0)))))))</f>
        <v>0.9</v>
      </c>
      <c r="S66" s="52" t="s">
        <v>47</v>
      </c>
      <c r="T66" s="56" cm="1">
        <f t="array" ref="T66:T74">O17:O25</f>
        <v>0</v>
      </c>
      <c r="U66" s="52" cm="1">
        <f t="array" ref="U66:U74">_xlfn.ANCHORARRAY('Condición Actual'!V43)</f>
        <v>12.56</v>
      </c>
      <c r="V66" s="56">
        <f t="shared" ref="V66:V74" si="17">T66*U66</f>
        <v>0</v>
      </c>
      <c r="W66" s="52" cm="1">
        <f t="array" ref="W66:W74">_xlfn.ANCHORARRAY('Condición Actual'!X43)</f>
        <v>23.89</v>
      </c>
      <c r="X66" s="56">
        <f t="shared" ref="X66:X74" si="18">T66*W66</f>
        <v>0</v>
      </c>
      <c r="Y66" s="52" cm="1">
        <f t="array" ref="Y66:Y74">_xlfn.ANCHORARRAY('Condición Actual'!Z43)</f>
        <v>-9.91</v>
      </c>
      <c r="Z66" s="56">
        <f t="shared" ref="Z66:Z74" si="19">T66*Y66</f>
        <v>0</v>
      </c>
      <c r="AA66" s="56"/>
      <c r="AG66" s="29" t="s">
        <v>485</v>
      </c>
      <c r="AH66" s="31">
        <f>IF(S21="A SAL (cm)",0,AN40*(-1))</f>
        <v>0</v>
      </c>
      <c r="AI66" s="42">
        <f>AO40</f>
        <v>9.005757735924675</v>
      </c>
      <c r="AJ66" s="32">
        <f t="shared" si="15"/>
        <v>0</v>
      </c>
    </row>
    <row r="67" spans="5:38" x14ac:dyDescent="0.3">
      <c r="E67" s="52" t="s">
        <v>69</v>
      </c>
      <c r="F67" s="52">
        <f>'D Actual'!AC12</f>
        <v>0</v>
      </c>
      <c r="G67" s="52">
        <f>IF(AND(F67="Slack",'D Actual'!AD12="%"),'D Actual'!AE12, ('D Actual'!AK12/TTHH!C84)*100)</f>
        <v>0</v>
      </c>
      <c r="H67" s="57">
        <v>0</v>
      </c>
      <c r="I67" s="52" t="s">
        <v>352</v>
      </c>
      <c r="J67" s="60">
        <v>0</v>
      </c>
      <c r="K67" s="57" t="str">
        <v>Igual</v>
      </c>
      <c r="L67" s="60">
        <v>0</v>
      </c>
      <c r="M67" s="57">
        <v>0</v>
      </c>
      <c r="N67" s="57">
        <v>0</v>
      </c>
      <c r="O67" s="56">
        <f t="shared" si="14"/>
        <v>0</v>
      </c>
      <c r="P67" s="32">
        <f>IFERROR(IF(H67="Vacio",0,IF(H67="Full",TTHH!C84,IF(H67="Slack",TTHH!C84*J67/100,0))),"Error")</f>
        <v>0</v>
      </c>
      <c r="Q67" s="32">
        <f t="shared" si="16"/>
        <v>0.9</v>
      </c>
      <c r="S67" s="52" t="s">
        <v>48</v>
      </c>
      <c r="T67" s="56">
        <v>0</v>
      </c>
      <c r="U67" s="52">
        <v>12.31</v>
      </c>
      <c r="V67" s="56">
        <f t="shared" si="17"/>
        <v>0</v>
      </c>
      <c r="W67" s="52">
        <v>24.07</v>
      </c>
      <c r="X67" s="56">
        <f t="shared" si="18"/>
        <v>0</v>
      </c>
      <c r="Y67" s="52">
        <v>10.62</v>
      </c>
      <c r="Z67" s="56">
        <f t="shared" si="19"/>
        <v>0</v>
      </c>
      <c r="AA67" s="56"/>
      <c r="AG67" s="29" t="s">
        <v>486</v>
      </c>
      <c r="AH67" s="31">
        <f>IF(S21="A SAL (cm)",0,(-1)*AN47)</f>
        <v>0</v>
      </c>
      <c r="AI67" s="42">
        <f>AO47</f>
        <v>0</v>
      </c>
      <c r="AJ67" s="32">
        <f t="shared" si="15"/>
        <v>0</v>
      </c>
    </row>
    <row r="68" spans="5:38" x14ac:dyDescent="0.3">
      <c r="E68" s="52" t="s">
        <v>70</v>
      </c>
      <c r="F68" s="52">
        <f>'D Actual'!AC13</f>
        <v>0</v>
      </c>
      <c r="G68" s="52">
        <f>IF(AND(F68="Slack",'D Actual'!AD13="%"),'D Actual'!AE13, ('D Actual'!AK13/TTHH!C85)*100)</f>
        <v>0</v>
      </c>
      <c r="H68" s="57">
        <v>0</v>
      </c>
      <c r="I68" s="52" t="s">
        <v>352</v>
      </c>
      <c r="J68" s="60">
        <v>0</v>
      </c>
      <c r="K68" s="57" t="str">
        <v>Igual</v>
      </c>
      <c r="L68" s="60">
        <v>0</v>
      </c>
      <c r="M68" s="57">
        <v>0</v>
      </c>
      <c r="N68" s="57">
        <v>0</v>
      </c>
      <c r="O68" s="56">
        <f t="shared" si="14"/>
        <v>0</v>
      </c>
      <c r="P68" s="32">
        <f>IFERROR(IF(H68="Vacio",0,IF(H68="Full",TTHH!C85,IF(H68="Slack",TTHH!C85*J68/100,0))),"Error")</f>
        <v>0</v>
      </c>
      <c r="Q68" s="32">
        <f t="shared" si="16"/>
        <v>0.9</v>
      </c>
      <c r="S68" s="52" t="s">
        <v>49</v>
      </c>
      <c r="T68" s="56">
        <v>354.57799999999997</v>
      </c>
      <c r="U68" s="52">
        <v>12.38</v>
      </c>
      <c r="V68" s="56">
        <f t="shared" si="17"/>
        <v>4389.6756400000004</v>
      </c>
      <c r="W68" s="52">
        <v>17.920000000000002</v>
      </c>
      <c r="X68" s="56">
        <f>T68*W68</f>
        <v>6354.0377600000002</v>
      </c>
      <c r="Y68" s="52">
        <v>-9.4600000000000009</v>
      </c>
      <c r="Z68" s="56">
        <f t="shared" si="19"/>
        <v>-3354.3078799999998</v>
      </c>
      <c r="AA68" s="56"/>
      <c r="AG68" s="29" t="s">
        <v>487</v>
      </c>
      <c r="AH68" s="31">
        <f>IF(S21="A SAL (cm)",0,(-1)*AN62)</f>
        <v>0</v>
      </c>
      <c r="AI68" s="42">
        <f>AO62</f>
        <v>-0.81</v>
      </c>
      <c r="AJ68" s="32">
        <f t="shared" si="15"/>
        <v>0</v>
      </c>
    </row>
    <row r="69" spans="5:38" x14ac:dyDescent="0.3">
      <c r="E69" s="52" t="s">
        <v>71</v>
      </c>
      <c r="F69" s="52">
        <f>'D Actual'!AC14</f>
        <v>0</v>
      </c>
      <c r="G69" s="52">
        <f>IF(AND(F69="Slack",'D Actual'!AD14="%"),'D Actual'!AE14, ('D Actual'!AK14/TTHH!C86)*100)</f>
        <v>0</v>
      </c>
      <c r="H69" s="57">
        <v>0</v>
      </c>
      <c r="I69" s="52" t="s">
        <v>352</v>
      </c>
      <c r="J69" s="60">
        <v>0</v>
      </c>
      <c r="K69" s="57" t="str">
        <v>Igual</v>
      </c>
      <c r="L69" s="60">
        <v>0</v>
      </c>
      <c r="M69" s="57">
        <v>0</v>
      </c>
      <c r="N69" s="57">
        <v>0</v>
      </c>
      <c r="O69" s="56">
        <f t="shared" si="14"/>
        <v>0</v>
      </c>
      <c r="P69" s="32">
        <f>IFERROR(IF(H69="Vacio",0,IF(H69="Full",TTHH!C86,IF(H69="Slack",TTHH!C86*J69/100,0))),"Error")</f>
        <v>0</v>
      </c>
      <c r="Q69" s="32">
        <f t="shared" si="16"/>
        <v>0.9</v>
      </c>
      <c r="S69" s="52" t="s">
        <v>50</v>
      </c>
      <c r="T69" s="56">
        <v>450.48999999999995</v>
      </c>
      <c r="U69" s="52">
        <v>12.39</v>
      </c>
      <c r="V69" s="56">
        <f t="shared" si="17"/>
        <v>5581.5711000000001</v>
      </c>
      <c r="W69" s="52">
        <v>17.47</v>
      </c>
      <c r="X69" s="56">
        <f t="shared" si="18"/>
        <v>7870.0602999999983</v>
      </c>
      <c r="Y69" s="52">
        <v>9.93</v>
      </c>
      <c r="Z69" s="56">
        <f t="shared" si="19"/>
        <v>4473.3656999999994</v>
      </c>
      <c r="AA69" s="56"/>
      <c r="AG69" s="29" t="s">
        <v>488</v>
      </c>
      <c r="AH69" s="31">
        <f>IF(S21="A SAL (cm)",0,(-1)*AN56)</f>
        <v>0</v>
      </c>
      <c r="AI69" s="42">
        <f>AO56</f>
        <v>0</v>
      </c>
      <c r="AJ69" s="32">
        <f t="shared" si="15"/>
        <v>0</v>
      </c>
    </row>
    <row r="70" spans="5:38" x14ac:dyDescent="0.3">
      <c r="E70" s="52" t="s">
        <v>72</v>
      </c>
      <c r="F70" s="52" t="str">
        <f>'D Actual'!AC15</f>
        <v>Slack</v>
      </c>
      <c r="G70" s="52">
        <f>IF(AND(F70="Slack",'D Actual'!AD15="%"),'D Actual'!AE15, ('D Actual'!AK15/TTHH!C87)*100)</f>
        <v>40</v>
      </c>
      <c r="H70" s="57" t="str">
        <v>Slack</v>
      </c>
      <c r="I70" s="52" t="s">
        <v>352</v>
      </c>
      <c r="J70" s="60">
        <v>60</v>
      </c>
      <c r="K70" s="57" t="str">
        <v>Igual</v>
      </c>
      <c r="L70" s="60">
        <v>0</v>
      </c>
      <c r="M70" s="57">
        <v>0</v>
      </c>
      <c r="N70" s="57">
        <v>0</v>
      </c>
      <c r="O70" s="56">
        <f t="shared" si="14"/>
        <v>1.08</v>
      </c>
      <c r="P70" s="32">
        <f>IFERROR(IF(H70="Vacio",0,IF(H70="Full",TTHH!C87,IF(H70="Slack",TTHH!C87*J70/100,0))),"Error")</f>
        <v>1.2</v>
      </c>
      <c r="Q70" s="32">
        <f t="shared" si="16"/>
        <v>0.9</v>
      </c>
      <c r="S70" s="52" t="s">
        <v>51</v>
      </c>
      <c r="T70" s="56">
        <v>42.94</v>
      </c>
      <c r="U70" s="52">
        <v>13.5</v>
      </c>
      <c r="V70" s="56">
        <f t="shared" si="17"/>
        <v>579.68999999999994</v>
      </c>
      <c r="W70" s="52">
        <v>22.4</v>
      </c>
      <c r="X70" s="56">
        <f t="shared" si="18"/>
        <v>961.85599999999988</v>
      </c>
      <c r="Y70" s="52">
        <v>7.19</v>
      </c>
      <c r="Z70" s="56">
        <f t="shared" si="19"/>
        <v>308.73860000000002</v>
      </c>
      <c r="AA70" s="56"/>
      <c r="AI70" s="41"/>
    </row>
    <row r="71" spans="5:38" x14ac:dyDescent="0.3">
      <c r="E71" s="52" t="s">
        <v>73</v>
      </c>
      <c r="F71" s="52" t="str">
        <f>'D Actual'!AC16</f>
        <v>Full</v>
      </c>
      <c r="G71" s="52">
        <f>IF(AND(F71="Slack",'D Actual'!AD16="%"),'D Actual'!AE16, ('D Actual'!AK16/TTHH!C88)*100)</f>
        <v>100</v>
      </c>
      <c r="H71" s="57" t="str">
        <v>Full</v>
      </c>
      <c r="I71" s="52" t="s">
        <v>352</v>
      </c>
      <c r="J71" s="60">
        <v>0</v>
      </c>
      <c r="K71" s="57" t="str">
        <v>Igual</v>
      </c>
      <c r="L71" s="60">
        <v>0</v>
      </c>
      <c r="M71" s="57">
        <v>0</v>
      </c>
      <c r="N71" s="57">
        <v>0</v>
      </c>
      <c r="O71" s="56">
        <f t="shared" si="14"/>
        <v>0.72000000000000008</v>
      </c>
      <c r="P71" s="32">
        <f>IFERROR(IF(H71="Vacio",0,IF(H71="Full",TTHH!C88,IF(H71="Slack",TTHH!C88*J71/100,0))),"Error")</f>
        <v>0.8</v>
      </c>
      <c r="Q71" s="32">
        <f t="shared" si="16"/>
        <v>0.9</v>
      </c>
      <c r="S71" s="52" t="s">
        <v>52</v>
      </c>
      <c r="T71" s="56">
        <v>0</v>
      </c>
      <c r="U71" s="52">
        <v>13.5</v>
      </c>
      <c r="V71" s="56">
        <f t="shared" si="17"/>
        <v>0</v>
      </c>
      <c r="W71" s="52">
        <v>20.8</v>
      </c>
      <c r="X71" s="56">
        <f t="shared" si="18"/>
        <v>0</v>
      </c>
      <c r="Y71" s="52">
        <v>7.19</v>
      </c>
      <c r="Z71" s="56">
        <f t="shared" si="19"/>
        <v>0</v>
      </c>
      <c r="AA71" s="56"/>
      <c r="AG71" s="29" t="s">
        <v>484</v>
      </c>
      <c r="AH71" s="31">
        <f ca="1">IF(S21="A SAL (cm)",'D Máximos'!I13,IF('Carga y Reparto'!S21="A LLEG (cm)",'D Máximos'!Q13,0))</f>
        <v>53080.9</v>
      </c>
      <c r="AI71" s="42">
        <f ca="1">V23</f>
        <v>97.905258977953807</v>
      </c>
      <c r="AJ71" s="32">
        <f ca="1">AH71*AI71</f>
        <v>5196899.2612828687</v>
      </c>
    </row>
    <row r="72" spans="5:38" x14ac:dyDescent="0.3">
      <c r="E72" s="52" t="s">
        <v>74</v>
      </c>
      <c r="F72" s="52" t="str">
        <f>'D Actual'!AC17</f>
        <v>Full</v>
      </c>
      <c r="G72" s="52">
        <f>IF(AND(F72="Slack",'D Actual'!AD17="%"),'D Actual'!AE17, ('D Actual'!AK17/TTHH!C89)*100)</f>
        <v>100</v>
      </c>
      <c r="H72" s="57" t="str">
        <v>Full</v>
      </c>
      <c r="I72" s="52" t="s">
        <v>352</v>
      </c>
      <c r="J72" s="60">
        <v>0</v>
      </c>
      <c r="K72" s="57" t="str">
        <v>Igual</v>
      </c>
      <c r="L72" s="60">
        <v>0</v>
      </c>
      <c r="M72" s="57">
        <v>0</v>
      </c>
      <c r="N72" s="57">
        <v>0</v>
      </c>
      <c r="O72" s="56">
        <f t="shared" si="14"/>
        <v>0.72000000000000008</v>
      </c>
      <c r="P72" s="32">
        <f>IFERROR(IF(H72="Vacio",0,IF(H72="Full",TTHH!C89,IF(H72="Slack",TTHH!C89*J72/100,0))),"Error")</f>
        <v>0.8</v>
      </c>
      <c r="Q72" s="32">
        <f t="shared" si="16"/>
        <v>0.9</v>
      </c>
      <c r="S72" s="52" t="s">
        <v>53</v>
      </c>
      <c r="T72" s="56">
        <v>42.94</v>
      </c>
      <c r="U72" s="52">
        <v>13.5</v>
      </c>
      <c r="V72" s="56">
        <f t="shared" si="17"/>
        <v>579.68999999999994</v>
      </c>
      <c r="W72" s="52">
        <v>24</v>
      </c>
      <c r="X72" s="56">
        <f t="shared" si="18"/>
        <v>1030.56</v>
      </c>
      <c r="Y72" s="52">
        <v>7.19</v>
      </c>
      <c r="Z72" s="56">
        <f t="shared" si="19"/>
        <v>308.73860000000002</v>
      </c>
      <c r="AA72" s="56"/>
    </row>
    <row r="73" spans="5:38" x14ac:dyDescent="0.3">
      <c r="S73" s="52" t="s">
        <v>54</v>
      </c>
      <c r="T73" s="56">
        <v>8.5879999999999992</v>
      </c>
      <c r="U73" s="52">
        <v>13.5</v>
      </c>
      <c r="V73" s="56">
        <f t="shared" si="17"/>
        <v>115.93799999999999</v>
      </c>
      <c r="W73" s="52">
        <v>19.2</v>
      </c>
      <c r="X73" s="56">
        <f t="shared" si="18"/>
        <v>164.88959999999997</v>
      </c>
      <c r="Y73" s="52">
        <v>7.19</v>
      </c>
      <c r="Z73" s="56">
        <f t="shared" si="19"/>
        <v>61.747720000000001</v>
      </c>
      <c r="AA73" s="56"/>
      <c r="AC73" s="29" t="s">
        <v>128</v>
      </c>
      <c r="AD73" s="29" t="s">
        <v>503</v>
      </c>
      <c r="AE73" s="29" t="s">
        <v>502</v>
      </c>
      <c r="AF73" s="29" t="s">
        <v>360</v>
      </c>
      <c r="AH73" s="29" t="s">
        <v>99</v>
      </c>
      <c r="AI73" s="29" t="s">
        <v>15</v>
      </c>
      <c r="AJ73" s="29" t="s">
        <v>383</v>
      </c>
      <c r="AL73" s="29" t="s">
        <v>15</v>
      </c>
    </row>
    <row r="74" spans="5:38" x14ac:dyDescent="0.3">
      <c r="S74" s="52" t="s">
        <v>55</v>
      </c>
      <c r="T74" s="56">
        <v>4.3890000000000002</v>
      </c>
      <c r="U74" s="52">
        <v>1.31</v>
      </c>
      <c r="V74" s="56">
        <f t="shared" si="17"/>
        <v>5.7495900000000004</v>
      </c>
      <c r="W74" s="52">
        <v>22.69</v>
      </c>
      <c r="X74" s="56">
        <f t="shared" si="18"/>
        <v>99.586410000000015</v>
      </c>
      <c r="Y74" s="52">
        <v>3.19</v>
      </c>
      <c r="Z74" s="56">
        <f t="shared" si="19"/>
        <v>14.000910000000001</v>
      </c>
      <c r="AA74" s="56"/>
      <c r="AC74" s="44" t="str">
        <f>IFERROR(_xlfn.XLOOKUP(U9,$AG$75:$AG$76,$AH$75:$AH$76)*Y9,"")</f>
        <v/>
      </c>
      <c r="AD74" s="44">
        <f>IF(U9&lt;&gt;"",AC74/Y9,T9)</f>
        <v>10453.033452397769</v>
      </c>
      <c r="AE74" s="45">
        <f>TTHH!Y10</f>
        <v>12431.5</v>
      </c>
      <c r="AF74" s="44">
        <f>IF(U9&lt;&gt;"",AC74,Q9)</f>
        <v>12431.5</v>
      </c>
      <c r="AG74" s="29" t="s">
        <v>478</v>
      </c>
      <c r="AH74" s="31">
        <f>T108</f>
        <v>45442.480984167531</v>
      </c>
      <c r="AI74" s="42">
        <f ca="1">W108</f>
        <v>93.740131508288613</v>
      </c>
      <c r="AJ74" s="32">
        <f ca="1">AH74*AI74</f>
        <v>4259784.1435187692</v>
      </c>
      <c r="AK74" s="29" t="s">
        <v>6</v>
      </c>
      <c r="AL74" s="45">
        <f>TTHH!AA10</f>
        <v>158.59</v>
      </c>
    </row>
    <row r="75" spans="5:38" x14ac:dyDescent="0.3">
      <c r="E75" s="54" t="s">
        <v>75</v>
      </c>
      <c r="F75" s="52" t="s">
        <v>464</v>
      </c>
      <c r="G75" s="52" t="s">
        <v>465</v>
      </c>
      <c r="H75" s="52" t="s">
        <v>362</v>
      </c>
      <c r="I75" s="52"/>
      <c r="J75" s="52" t="s">
        <v>352</v>
      </c>
      <c r="K75" s="52" t="s">
        <v>359</v>
      </c>
      <c r="L75" s="52">
        <f>'D Actual'!AG19</f>
        <v>1</v>
      </c>
      <c r="M75" s="52"/>
      <c r="N75" s="52"/>
      <c r="O75" s="52" t="s">
        <v>469</v>
      </c>
      <c r="P75" s="29" t="s">
        <v>360</v>
      </c>
      <c r="Q75" s="29" t="s">
        <v>359</v>
      </c>
      <c r="S75" s="54" t="s">
        <v>57</v>
      </c>
      <c r="T75" s="38"/>
      <c r="U75" s="38"/>
      <c r="V75" s="38"/>
      <c r="W75" s="38"/>
      <c r="X75" s="38"/>
      <c r="Y75" s="38"/>
      <c r="Z75" s="38"/>
      <c r="AA75" s="38"/>
      <c r="AC75" s="44">
        <f ca="1">IFERROR(_xlfn.XLOOKUP(U10,$AG$75:$AG$76,$AH$75:$AH$76)*Y10,"")</f>
        <v>8494.9654849621584</v>
      </c>
      <c r="AD75" s="44">
        <f ca="1">IF(U10&lt;&gt;"",AC75/Y10,T10)</f>
        <v>6666.7965382446964</v>
      </c>
      <c r="AE75" s="45">
        <f>TTHH!AF10</f>
        <v>13349.5</v>
      </c>
      <c r="AF75" s="44">
        <f ca="1">IF(U10&lt;&gt;"",AC75,Q10)</f>
        <v>8494.9654849621584</v>
      </c>
      <c r="AG75" s="29" t="str" cm="1">
        <f t="array" ref="AG75">INDEX(_xlfn._xlws.FILTER($U$9:$U$13, $U$9:$U$13&lt;&gt;""), 1)</f>
        <v>B2</v>
      </c>
      <c r="AH75" s="44">
        <f ca="1">((AJ84 - (AJ74 + SUM(AJ77:AJ82))) - ((AH84 - (AH74 + SUM(AH77:AH82))) * AI76)) / (AI75 - AI76)</f>
        <v>6666.7965382446964</v>
      </c>
      <c r="AI75" s="7">
        <f>VLOOKUP(AG75, $AK$74:$AL$78, 2, FALSE)</f>
        <v>130.01</v>
      </c>
      <c r="AJ75" s="32">
        <f ca="1">AH75*AI75</f>
        <v>866750.21793719288</v>
      </c>
      <c r="AK75" s="29" t="s">
        <v>7</v>
      </c>
      <c r="AL75" s="45">
        <f>TTHH!AH10</f>
        <v>130.01</v>
      </c>
    </row>
    <row r="76" spans="5:38" x14ac:dyDescent="0.3">
      <c r="E76" s="52" t="s">
        <v>76</v>
      </c>
      <c r="F76" s="52" t="str">
        <f>'D Actual'!AC20</f>
        <v>Slack</v>
      </c>
      <c r="G76" s="52">
        <f>IF(AND(F76="Slack"), 'D Actual'!AE20, ('D Actual'!AK20/TTHH!C97)*100)</f>
        <v>60</v>
      </c>
      <c r="H76" s="57" t="str" cm="1">
        <f t="array" ref="H76:H77">Interfaz!H236:H237</f>
        <v>Full</v>
      </c>
      <c r="I76" s="52" t="s">
        <v>352</v>
      </c>
      <c r="J76" s="60" cm="1">
        <f t="array" ref="J76:J77">Interfaz!I236:I237</f>
        <v>0</v>
      </c>
      <c r="K76" s="57" t="str" cm="1">
        <f t="array" ref="K76:K77">Interfaz!J236:J237</f>
        <v>Igual</v>
      </c>
      <c r="L76" s="60" cm="1">
        <f t="array" ref="L76:L77">Interfaz!K236:K237</f>
        <v>0</v>
      </c>
      <c r="M76" s="57" cm="1">
        <f t="array" ref="M76:M77">Interfaz!L236:L237</f>
        <v>0</v>
      </c>
      <c r="N76" s="57" cm="1">
        <f t="array" ref="N76:N77">Interfaz!M236:M237</f>
        <v>0</v>
      </c>
      <c r="O76" s="56">
        <f>IFERROR(IF(H76="Vacio",0,IF(H76="Full",P76*Q76,IF(H76="Slack",P76*Q76,0))),"Error")</f>
        <v>119.5</v>
      </c>
      <c r="P76" s="32">
        <f>IFERROR(IF(H76="Vacio",0,IF(H76="Full",TTHH!C97,IF(H76="Slack",TTHH!C97*J76/100,0))),"Error")</f>
        <v>119.5</v>
      </c>
      <c r="Q76" s="32">
        <f>IF(K76="Igual",$L$75,IF(K76="Distinta",IF(AND(M76="Tm",N76="m3"),L76,IF(AND(M76="Tm",N76="m3"),L76,IF(AND(M76="Tm",N76="ft3"),L76/0.028316,IF(AND(M76="LT",N76="m3"),L76*1.01605,IF(AND(M76="LT",N76="ft3"),L76*(1.01605/0.028316),0)))))))</f>
        <v>1</v>
      </c>
      <c r="S76" s="52" t="s">
        <v>58</v>
      </c>
      <c r="T76" s="56" cm="1">
        <f t="array" ref="T76:T79">O29:O32</f>
        <v>141.52500000000001</v>
      </c>
      <c r="U76" s="52" cm="1">
        <f t="array" ref="U76:U79">_xlfn.ANCHORARRAY('Condición Actual'!V53)</f>
        <v>15.65</v>
      </c>
      <c r="V76" s="56">
        <f>T76*U76</f>
        <v>2214.86625</v>
      </c>
      <c r="W76" s="52" cm="1">
        <f t="array" ref="W76:W79">_xlfn.ANCHORARRAY('Condición Actual'!X53)</f>
        <v>14.2</v>
      </c>
      <c r="X76" s="56">
        <f>T76*W76</f>
        <v>2009.655</v>
      </c>
      <c r="Y76" s="52" cm="1">
        <f t="array" ref="Y76:Y79">_xlfn.ANCHORARRAY('Condición Actual'!Z53)</f>
        <v>11.76</v>
      </c>
      <c r="Z76" s="56">
        <f>T76*Y76</f>
        <v>1664.3340000000001</v>
      </c>
      <c r="AA76" s="56"/>
      <c r="AC76" s="44" t="str">
        <f>IFERROR(_xlfn.XLOOKUP(U11,$AG$75:$AG$76,$AH$75:$AH$76)*Y11,"")</f>
        <v/>
      </c>
      <c r="AD76" s="44">
        <f>IF(U11&lt;&gt;"",AC76/Y11,T11)</f>
        <v>11226.447776454837</v>
      </c>
      <c r="AE76" s="45">
        <f>TTHH!AM10</f>
        <v>13351.3</v>
      </c>
      <c r="AF76" s="44">
        <f>IF(U11&lt;&gt;"",AC76,Q11)</f>
        <v>13351.3</v>
      </c>
      <c r="AG76" s="29" t="str" cm="1">
        <f t="array" ref="AG76">INDEX(_xlfn._xlws.FILTER($U$9:$U$13, $U$9:$U$13&lt;&gt;""), 2)</f>
        <v>B4</v>
      </c>
      <c r="AH76" s="44">
        <f ca="1">(AH84 - (AH74 + SUM(AH77:AH82))) - AH75</f>
        <v>971.62247758777448</v>
      </c>
      <c r="AI76" s="7">
        <f>VLOOKUP(AG76, $AK$74:$AL$78, 2, FALSE)</f>
        <v>72.42</v>
      </c>
      <c r="AJ76" s="32">
        <f ca="1">AH76*AI76</f>
        <v>70364.899826906636</v>
      </c>
      <c r="AK76" s="29" t="s">
        <v>8</v>
      </c>
      <c r="AL76" s="45">
        <f>TTHH!AO10</f>
        <v>101.22</v>
      </c>
    </row>
    <row r="77" spans="5:38" x14ac:dyDescent="0.3">
      <c r="E77" s="52" t="s">
        <v>77</v>
      </c>
      <c r="F77" s="52">
        <f>'D Actual'!AC21</f>
        <v>0</v>
      </c>
      <c r="G77" s="52">
        <f>IF(AND(F77="Slack"), 'D Actual'!AE21, ('D Actual'!AK21/TTHH!C98)*100)</f>
        <v>0</v>
      </c>
      <c r="H77" s="57">
        <v>0</v>
      </c>
      <c r="I77" s="52" t="s">
        <v>352</v>
      </c>
      <c r="J77" s="60">
        <v>0</v>
      </c>
      <c r="K77" s="57" t="str">
        <v>Igual</v>
      </c>
      <c r="L77" s="60">
        <v>0</v>
      </c>
      <c r="M77" s="57">
        <v>0</v>
      </c>
      <c r="N77" s="57">
        <v>0</v>
      </c>
      <c r="O77" s="56">
        <f>IFERROR(IF(H77="Vacio",0,IF(H77="Full",P77*Q77,IF(H77="Slack",P77*Q77,0))),"Error")</f>
        <v>0</v>
      </c>
      <c r="P77" s="32">
        <f>IFERROR(IF(H77="Vacio",0,IF(H77="Full",TTHH!C98,IF(H77="Slack",TTHH!C98*J77/100,0))),"Error")</f>
        <v>0</v>
      </c>
      <c r="Q77" s="32">
        <f>IF(K77="Igual",$L$75,IF(K77="Distinta",IF(AND(M77="Tm",N77="m3"),L77,IF(AND(M77="Tm",N77="m3"),L77,IF(AND(M77="Tm",N77="ft3"),L77/0.028316,IF(AND(M77="LT",N77="m3"),L77*1.01605,IF(AND(M77="LT",N77="ft3"),L77*(1.01605/0.028316),0)))))))</f>
        <v>1</v>
      </c>
      <c r="S77" s="52" t="s">
        <v>59</v>
      </c>
      <c r="T77" s="56">
        <v>12.486499999999999</v>
      </c>
      <c r="U77" s="52">
        <v>15.75</v>
      </c>
      <c r="V77" s="56">
        <f>T77*U77</f>
        <v>196.662375</v>
      </c>
      <c r="W77" s="52">
        <v>15.2</v>
      </c>
      <c r="X77" s="56">
        <f>T77*W77</f>
        <v>189.79479999999998</v>
      </c>
      <c r="Y77" s="52">
        <v>7.19</v>
      </c>
      <c r="Z77" s="56">
        <f>T77*Y77</f>
        <v>89.777934999999999</v>
      </c>
      <c r="AA77" s="56"/>
      <c r="AC77" s="44">
        <f ca="1">IFERROR(_xlfn.XLOOKUP(U12,$AG$75:$AG$76,$AH$75:$AH$76)*Y12,"")</f>
        <v>1146.5145235535738</v>
      </c>
      <c r="AD77" s="44">
        <f ca="1">IF(U12&lt;&gt;"",AC77/Y12,T12)</f>
        <v>971.62247758777448</v>
      </c>
      <c r="AE77" s="45">
        <f>TTHH!AT10</f>
        <v>13349.6</v>
      </c>
      <c r="AF77" s="44">
        <f ca="1">IF(U12&lt;&gt;"",AC77,Q12)</f>
        <v>1146.5145235535738</v>
      </c>
      <c r="AG77" s="29" t="s">
        <v>482</v>
      </c>
      <c r="AH77" s="31">
        <f>IF(S21="A SAL (cm)",0,(-1)*AN18)</f>
        <v>0</v>
      </c>
      <c r="AI77" s="42">
        <f>AO18</f>
        <v>18.196545901265864</v>
      </c>
      <c r="AJ77" s="32">
        <f t="shared" ref="AJ77:AJ82" si="20">AH77*AI77</f>
        <v>0</v>
      </c>
      <c r="AK77" s="29" t="s">
        <v>9</v>
      </c>
      <c r="AL77" s="45">
        <f>TTHH!AV10</f>
        <v>72.42</v>
      </c>
    </row>
    <row r="78" spans="5:38" x14ac:dyDescent="0.3">
      <c r="S78" s="52" t="s">
        <v>60</v>
      </c>
      <c r="T78" s="56">
        <v>19.662000000000003</v>
      </c>
      <c r="U78" s="52">
        <v>15.75</v>
      </c>
      <c r="V78" s="56">
        <f>T78*U78</f>
        <v>309.67650000000003</v>
      </c>
      <c r="W78" s="52">
        <v>12</v>
      </c>
      <c r="X78" s="56">
        <f>T78*W78</f>
        <v>235.94400000000002</v>
      </c>
      <c r="Y78" s="52">
        <v>7.19</v>
      </c>
      <c r="Z78" s="56">
        <f>T78*Y78</f>
        <v>141.36978000000002</v>
      </c>
      <c r="AA78" s="56"/>
      <c r="AC78" s="44" t="str">
        <f>IFERROR(_xlfn.XLOOKUP(U13,$AG$75:$AG$76,$AH$75:$AH$76)*Y13,"")</f>
        <v/>
      </c>
      <c r="AD78" s="44">
        <f>IF(U13&lt;&gt;"",AC78/Y13,T13)</f>
        <v>11154.218715314913</v>
      </c>
      <c r="AE78" s="45">
        <f>TTHH!BA10</f>
        <v>13265.4</v>
      </c>
      <c r="AF78" s="44">
        <f>IF(U13&lt;&gt;"",AC78,Q13)</f>
        <v>13265.4</v>
      </c>
      <c r="AG78" s="29" t="s">
        <v>483</v>
      </c>
      <c r="AH78" s="31">
        <f>IF(S21="A SAL (cm)",0,(-1)*AN26)</f>
        <v>0</v>
      </c>
      <c r="AI78" s="42">
        <f>AO26</f>
        <v>13.730319200871726</v>
      </c>
      <c r="AJ78" s="32">
        <f t="shared" si="20"/>
        <v>0</v>
      </c>
      <c r="AK78" s="29" t="s">
        <v>10</v>
      </c>
      <c r="AL78" s="45">
        <f>TTHH!BC10</f>
        <v>43.26</v>
      </c>
    </row>
    <row r="79" spans="5:38" x14ac:dyDescent="0.3">
      <c r="S79" s="52" t="s">
        <v>61</v>
      </c>
      <c r="T79" s="56">
        <v>3.4578000000000002</v>
      </c>
      <c r="U79" s="52">
        <v>15.75</v>
      </c>
      <c r="V79" s="56">
        <f>T79*U79</f>
        <v>54.460350000000005</v>
      </c>
      <c r="W79" s="52">
        <v>13.6</v>
      </c>
      <c r="X79" s="56">
        <f>T79*W79</f>
        <v>47.02608</v>
      </c>
      <c r="Y79" s="52">
        <v>7.19</v>
      </c>
      <c r="Z79" s="56">
        <f>T79*Y79</f>
        <v>24.861582000000002</v>
      </c>
      <c r="AA79" s="56"/>
      <c r="AF79" s="29" t="s">
        <v>354</v>
      </c>
      <c r="AG79" s="29" t="s">
        <v>485</v>
      </c>
      <c r="AH79" s="31">
        <f>IF(S21="A SAL (cm)",0,AN40*(-1))</f>
        <v>0</v>
      </c>
      <c r="AI79" s="42">
        <f>AO40</f>
        <v>9.005757735924675</v>
      </c>
      <c r="AJ79" s="32">
        <f t="shared" si="20"/>
        <v>0</v>
      </c>
    </row>
    <row r="80" spans="5:38" x14ac:dyDescent="0.3">
      <c r="E80" s="54" t="s">
        <v>79</v>
      </c>
      <c r="F80" s="52" t="s">
        <v>464</v>
      </c>
      <c r="G80" s="52" t="s">
        <v>465</v>
      </c>
      <c r="H80" s="52" t="s">
        <v>362</v>
      </c>
      <c r="I80" s="52"/>
      <c r="J80" s="52" t="s">
        <v>352</v>
      </c>
      <c r="K80" s="52" t="s">
        <v>359</v>
      </c>
      <c r="L80" s="52">
        <f>'D Actual'!AG23</f>
        <v>0.9</v>
      </c>
      <c r="M80" s="52"/>
      <c r="N80" s="52"/>
      <c r="O80" s="52" t="s">
        <v>469</v>
      </c>
      <c r="P80" s="29" t="s">
        <v>360</v>
      </c>
      <c r="Q80" s="29" t="s">
        <v>359</v>
      </c>
      <c r="S80" s="54" t="s">
        <v>63</v>
      </c>
      <c r="T80" s="38"/>
      <c r="U80" s="38"/>
      <c r="V80" s="38"/>
      <c r="W80" s="38"/>
      <c r="X80" s="38"/>
      <c r="Y80" s="38"/>
      <c r="Z80" s="38"/>
      <c r="AA80" s="38"/>
      <c r="AF80" s="44">
        <f>IF(U9&lt;&gt;"",Y9,R9)</f>
        <v>1.1892720000000001</v>
      </c>
      <c r="AG80" s="29" t="s">
        <v>486</v>
      </c>
      <c r="AH80" s="31">
        <f>IF(S21="A SAL (cm)",0,(-1)*AN47)</f>
        <v>0</v>
      </c>
      <c r="AI80" s="42">
        <f>AO47</f>
        <v>0</v>
      </c>
      <c r="AJ80" s="32">
        <f t="shared" si="20"/>
        <v>0</v>
      </c>
    </row>
    <row r="81" spans="5:46" x14ac:dyDescent="0.3">
      <c r="E81" s="52" t="s">
        <v>80</v>
      </c>
      <c r="F81" s="52" t="str">
        <f>'D Actual'!AC24</f>
        <v>Slack</v>
      </c>
      <c r="G81" s="52">
        <f>IF(AND(F81="Slack"), 'D Actual'!AE24, ('D Actual'!AK24/TTHH!C106)*100)</f>
        <v>20</v>
      </c>
      <c r="H81" s="57" t="str" cm="1">
        <f t="array" ref="H81:H83">Interfaz!H240:H242</f>
        <v>Vacio</v>
      </c>
      <c r="I81" s="52" t="s">
        <v>352</v>
      </c>
      <c r="J81" s="60" cm="1">
        <f t="array" ref="J81:J83">Interfaz!I240:I242</f>
        <v>0</v>
      </c>
      <c r="K81" s="57" t="str" cm="1">
        <f t="array" ref="K81:K83">Interfaz!J240:J242</f>
        <v>Igual</v>
      </c>
      <c r="L81" s="60" cm="1">
        <f t="array" ref="L81:L83">Interfaz!K240:K242</f>
        <v>0</v>
      </c>
      <c r="M81" s="57" cm="1">
        <f t="array" ref="M81:M83">Interfaz!L240:L242</f>
        <v>0</v>
      </c>
      <c r="N81" s="57" cm="1">
        <f t="array" ref="N81:N83">Interfaz!M240:M242</f>
        <v>0</v>
      </c>
      <c r="O81" s="56">
        <f>IFERROR(IF(H81="Vacio",0,IF(H81="Full",P81*Q81,IF(H81="Slack",P81*Q81,0))),"Error")</f>
        <v>0</v>
      </c>
      <c r="P81" s="32">
        <f>IFERROR(IF(H81="Vacio",0,IF(H81="Full",TTHH!C106,IF(H81="Slack",TTHH!C106*J81/100,0))),"Error")</f>
        <v>0</v>
      </c>
      <c r="Q81" s="32">
        <f>IF(K81="Igual",$L$80,IF(K81="Distinta",IF(AND(M81="Tm",N81="m3"),L81,IF(AND(M81="Tm",N81="m3"),L81,IF(AND(M81="Tm",N81="ft3"),L81/0.028316,IF(AND(M81="LT",N81="m3"),L81*1.01605,IF(AND(M81="LT",N81="ft3"),L81*(1.01605/0.028316),0)))))))</f>
        <v>0.9</v>
      </c>
      <c r="S81" s="52" t="s">
        <v>65</v>
      </c>
      <c r="T81" s="56" cm="1">
        <f t="array" ref="T81:T90">O63:O72</f>
        <v>17.100000000000001</v>
      </c>
      <c r="U81" s="52" cm="1">
        <f t="array" ref="U81:U90">_xlfn.ANCHORARRAY('Condición Actual'!V58)</f>
        <v>11.77</v>
      </c>
      <c r="V81" s="56">
        <f t="shared" ref="V81:V90" si="21">T81*U81</f>
        <v>201.267</v>
      </c>
      <c r="W81" s="52" cm="1">
        <f t="array" ref="W81:W90">_xlfn.ANCHORARRAY('Condición Actual'!X58)</f>
        <v>6.81</v>
      </c>
      <c r="X81" s="56">
        <f t="shared" ref="X81:X90" si="22">T81*W81</f>
        <v>116.45100000000001</v>
      </c>
      <c r="Y81" s="52" cm="1">
        <f t="array" ref="Y81:Y90">_xlfn.ANCHORARRAY('Condición Actual'!Z58)</f>
        <v>8.43</v>
      </c>
      <c r="Z81" s="56">
        <f t="shared" ref="Z81:Z90" si="23">T81*Y81</f>
        <v>144.15300000000002</v>
      </c>
      <c r="AA81" s="56"/>
      <c r="AF81" s="44">
        <f>IF(U10&lt;&gt;"",Y10,R10)</f>
        <v>1.2742200000000001</v>
      </c>
      <c r="AG81" s="29" t="s">
        <v>487</v>
      </c>
      <c r="AH81" s="31">
        <f>IF(S21="A SAL (cm)",0,(-1)*AN62)</f>
        <v>0</v>
      </c>
      <c r="AI81" s="42">
        <f>AO62</f>
        <v>-0.81</v>
      </c>
      <c r="AJ81" s="32">
        <f t="shared" si="20"/>
        <v>0</v>
      </c>
    </row>
    <row r="82" spans="5:46" x14ac:dyDescent="0.3">
      <c r="E82" s="52" t="s">
        <v>81</v>
      </c>
      <c r="F82" s="52" t="str">
        <f>'D Actual'!AC25</f>
        <v>Slack</v>
      </c>
      <c r="G82" s="52">
        <f>IF(AND(F82="Slack"), 'D Actual'!AE25, ('D Actual'!AK25/TTHH!C107)*100)</f>
        <v>30</v>
      </c>
      <c r="H82" s="57" t="str">
        <v>Vacio</v>
      </c>
      <c r="I82" s="52" t="s">
        <v>352</v>
      </c>
      <c r="J82" s="60">
        <v>0</v>
      </c>
      <c r="K82" s="57" t="str">
        <v>Igual</v>
      </c>
      <c r="L82" s="60">
        <v>0</v>
      </c>
      <c r="M82" s="57">
        <v>0</v>
      </c>
      <c r="N82" s="57">
        <v>0</v>
      </c>
      <c r="O82" s="56">
        <f>IFERROR(IF(H82="Vacio",0,IF(H82="Full",P82*Q82,IF(H82="Slack",P82*Q82,0))),"Error")</f>
        <v>0</v>
      </c>
      <c r="P82" s="32">
        <f>IFERROR(IF(H82="Vacio",0,IF(H82="Full",TTHH!C107,IF(H82="Slack",TTHH!C107*J82/100,0))),"Error")</f>
        <v>0</v>
      </c>
      <c r="Q82" s="32">
        <f>IF(K82="Igual",$L$80,IF(K82="Distinta",IF(AND(M82="Tm",N82="m3"),L82,IF(AND(M82="Tm",N82="m3"),L82,IF(AND(M82="Tm",N82="ft3"),L82/0.028316,IF(AND(M82="LT",N82="m3"),L82*1.01605,IF(AND(M82="LT",N82="ft3"),L82*(1.01605/0.028316),0)))))))</f>
        <v>0.9</v>
      </c>
      <c r="S82" s="52" t="s">
        <v>66</v>
      </c>
      <c r="T82" s="56">
        <v>16.829999999999998</v>
      </c>
      <c r="U82" s="52">
        <v>11.69</v>
      </c>
      <c r="V82" s="56">
        <f t="shared" si="21"/>
        <v>196.74269999999999</v>
      </c>
      <c r="W82" s="52">
        <v>7.61</v>
      </c>
      <c r="X82" s="56">
        <f t="shared" si="22"/>
        <v>128.0763</v>
      </c>
      <c r="Y82" s="52">
        <v>8.57</v>
      </c>
      <c r="Z82" s="56">
        <f t="shared" si="23"/>
        <v>144.23309999999998</v>
      </c>
      <c r="AA82" s="56"/>
      <c r="AF82" s="44">
        <f>IF(U11&lt;&gt;"",Y11,R11)</f>
        <v>1.1892720000000001</v>
      </c>
      <c r="AG82" s="29" t="s">
        <v>488</v>
      </c>
      <c r="AH82" s="31">
        <f>IF(S21="A SAL (cm)",0,(-1)*AN56)</f>
        <v>0</v>
      </c>
      <c r="AI82" s="42">
        <f>AO56</f>
        <v>0</v>
      </c>
      <c r="AJ82" s="32">
        <f t="shared" si="20"/>
        <v>0</v>
      </c>
    </row>
    <row r="83" spans="5:46" x14ac:dyDescent="0.3">
      <c r="E83" s="52" t="s">
        <v>82</v>
      </c>
      <c r="F83" s="52" t="str">
        <f>'D Actual'!AC26</f>
        <v>Slack</v>
      </c>
      <c r="G83" s="52">
        <f>IF(AND(F83="Slack"), 'D Actual'!AE26, ('D Actual'!AK26/TTHH!C108)*100)</f>
        <v>27</v>
      </c>
      <c r="H83" s="57" t="str">
        <v>Vacio</v>
      </c>
      <c r="I83" s="52" t="s">
        <v>352</v>
      </c>
      <c r="J83" s="60">
        <v>0</v>
      </c>
      <c r="K83" s="57" t="str">
        <v>Igual</v>
      </c>
      <c r="L83" s="60">
        <v>0</v>
      </c>
      <c r="M83" s="57">
        <v>0</v>
      </c>
      <c r="N83" s="57">
        <v>0</v>
      </c>
      <c r="O83" s="56">
        <f>IFERROR(IF(H83="Vacio",0,IF(H83="Full",P83*Q83,IF(H83="Slack",P83*Q83,0))),"Error")</f>
        <v>0</v>
      </c>
      <c r="P83" s="32">
        <f>IFERROR(IF(H83="Vacio",0,IF(H83="Full",TTHH!C108,IF(H83="Slack",TTHH!C108*J83/100,0))),"Error")</f>
        <v>0</v>
      </c>
      <c r="Q83" s="32">
        <f>IF(K83="Igual",$L$80,IF(K83="Distinta",IF(AND(M83="Tm",N83="m3"),L83,IF(AND(M83="Tm",N83="m3"),L83,IF(AND(M83="Tm",N83="ft3"),L83/0.028316,IF(AND(M83="LT",N83="m3"),L83*1.01605,IF(AND(M83="LT",N83="ft3"),L83*(1.01605/0.028316),0)))))))</f>
        <v>0.9</v>
      </c>
      <c r="S83" s="52" t="s">
        <v>67</v>
      </c>
      <c r="T83" s="56">
        <v>18.18</v>
      </c>
      <c r="U83" s="52">
        <v>11.63</v>
      </c>
      <c r="V83" s="56">
        <f t="shared" si="21"/>
        <v>211.43340000000001</v>
      </c>
      <c r="W83" s="52">
        <v>8.4</v>
      </c>
      <c r="X83" s="56">
        <f t="shared" si="22"/>
        <v>152.71200000000002</v>
      </c>
      <c r="Y83" s="52">
        <v>8.7200000000000006</v>
      </c>
      <c r="Z83" s="56">
        <f t="shared" si="23"/>
        <v>158.52960000000002</v>
      </c>
      <c r="AA83" s="56"/>
      <c r="AF83" s="44">
        <f>IF(U12&lt;&gt;"",Y12,R12)</f>
        <v>1.18</v>
      </c>
      <c r="AI83" s="41"/>
    </row>
    <row r="84" spans="5:46" x14ac:dyDescent="0.3">
      <c r="S84" s="52" t="s">
        <v>68</v>
      </c>
      <c r="T84" s="56">
        <v>39.96</v>
      </c>
      <c r="U84" s="52">
        <v>11.56</v>
      </c>
      <c r="V84" s="56">
        <f t="shared" si="21"/>
        <v>461.93760000000003</v>
      </c>
      <c r="W84" s="52">
        <v>9.6199999999999992</v>
      </c>
      <c r="X84" s="56">
        <f t="shared" si="22"/>
        <v>384.41519999999997</v>
      </c>
      <c r="Y84" s="52">
        <v>8.94</v>
      </c>
      <c r="Z84" s="56">
        <f t="shared" si="23"/>
        <v>357.24239999999998</v>
      </c>
      <c r="AA84" s="56"/>
      <c r="AF84" s="44">
        <f>IF(U13&lt;&gt;"",Y13,R13)</f>
        <v>1.1892720000000001</v>
      </c>
      <c r="AG84" s="29" t="s">
        <v>484</v>
      </c>
      <c r="AH84" s="31">
        <f ca="1">IF(S21="A SAL (cm)",'D Máximos'!I13,IF('Carga y Reparto'!S21="A LLEG (cm)",'D Máximos'!Q13,0))</f>
        <v>53080.9</v>
      </c>
      <c r="AI84" s="42">
        <f ca="1">V23</f>
        <v>97.905258977953807</v>
      </c>
      <c r="AJ84" s="32">
        <f ca="1">AH84*AI84</f>
        <v>5196899.2612828687</v>
      </c>
    </row>
    <row r="85" spans="5:46" x14ac:dyDescent="0.3">
      <c r="S85" s="52" t="s">
        <v>69</v>
      </c>
      <c r="T85" s="56">
        <v>0</v>
      </c>
      <c r="U85" s="52">
        <v>1.31</v>
      </c>
      <c r="V85" s="56">
        <f t="shared" si="21"/>
        <v>0</v>
      </c>
      <c r="W85" s="52">
        <v>18</v>
      </c>
      <c r="X85" s="56">
        <f t="shared" si="22"/>
        <v>0</v>
      </c>
      <c r="Y85" s="52">
        <v>0</v>
      </c>
      <c r="Z85" s="56">
        <f t="shared" si="23"/>
        <v>0</v>
      </c>
      <c r="AA85" s="56"/>
    </row>
    <row r="86" spans="5:46" x14ac:dyDescent="0.3">
      <c r="E86" s="54" t="s">
        <v>84</v>
      </c>
      <c r="F86" s="52" t="s">
        <v>464</v>
      </c>
      <c r="G86" s="52" t="s">
        <v>465</v>
      </c>
      <c r="H86" s="52" t="s">
        <v>362</v>
      </c>
      <c r="I86" s="52"/>
      <c r="J86" s="52" t="s">
        <v>352</v>
      </c>
      <c r="K86" s="52" t="s">
        <v>359</v>
      </c>
      <c r="L86" s="52">
        <f>'D Actual'!AG28</f>
        <v>1</v>
      </c>
      <c r="M86" s="52"/>
      <c r="N86" s="52"/>
      <c r="O86" s="52" t="s">
        <v>469</v>
      </c>
      <c r="P86" s="29" t="s">
        <v>360</v>
      </c>
      <c r="Q86" s="29" t="s">
        <v>359</v>
      </c>
      <c r="S86" s="52" t="s">
        <v>70</v>
      </c>
      <c r="T86" s="56">
        <v>0</v>
      </c>
      <c r="U86" s="52">
        <v>15.65</v>
      </c>
      <c r="V86" s="56">
        <f t="shared" si="21"/>
        <v>0</v>
      </c>
      <c r="W86" s="52">
        <v>2</v>
      </c>
      <c r="X86" s="56">
        <f t="shared" si="22"/>
        <v>0</v>
      </c>
      <c r="Y86" s="52">
        <v>3.2</v>
      </c>
      <c r="Z86" s="56">
        <f t="shared" si="23"/>
        <v>0</v>
      </c>
      <c r="AA86" s="56"/>
    </row>
    <row r="87" spans="5:46" x14ac:dyDescent="0.3">
      <c r="E87" s="52" t="s">
        <v>85</v>
      </c>
      <c r="F87" s="52">
        <f>'D Actual'!AC29</f>
        <v>0</v>
      </c>
      <c r="G87" s="52">
        <f>IF(AND(F87="Slack"),'D Actual'!AE29, ('D Actual'!AK29/TTHH!C116)*100)</f>
        <v>0</v>
      </c>
      <c r="H87" s="57" cm="1">
        <f t="array" ref="H87:H91">Interfaz!H245:H249</f>
        <v>0</v>
      </c>
      <c r="I87" s="52" t="s">
        <v>352</v>
      </c>
      <c r="J87" s="60" cm="1">
        <f t="array" ref="J87:J91">Interfaz!I245:I249</f>
        <v>0</v>
      </c>
      <c r="K87" s="57" t="str" cm="1">
        <f t="array" ref="K87:K91">Interfaz!J245:J249</f>
        <v>Igual</v>
      </c>
      <c r="L87" s="60" cm="1">
        <f t="array" ref="L87:L91">Interfaz!K245:K249</f>
        <v>0</v>
      </c>
      <c r="M87" s="57" cm="1">
        <f t="array" ref="M87:M91">Interfaz!L245:L249</f>
        <v>0</v>
      </c>
      <c r="N87" s="57" cm="1">
        <f t="array" ref="N87:N91">Interfaz!M245:M249</f>
        <v>0</v>
      </c>
      <c r="O87" s="56">
        <f>IFERROR(IF(H87="Vacio",0,IF(H87="Full",P87*Q87,IF(H87="Slack",P87*Q87,0))),"Error")</f>
        <v>0</v>
      </c>
      <c r="P87" s="32">
        <f>IFERROR(IF(H87="Vacio",0,IF(H87="Full",TTHH!C116,IF(H87="Slack",TTHH!C116*J87/100,0))),"Error")</f>
        <v>0</v>
      </c>
      <c r="Q87" s="32">
        <f>IF(K87="Igual",$L$86,IF(K87="Distinta",IF(AND(M87="Tm",N87="m3"),L87,IF(AND(M87="Tm",N87="m3"),L87,IF(AND(M87="Tm",N87="ft3"),L87/0.028316,IF(AND(M87="LT",N87="m3"),L87*1.01605,IF(AND(M87="LT",N87="ft3"),L87*(1.01605/0.028316),0)))))))</f>
        <v>1</v>
      </c>
      <c r="S87" s="52" t="s">
        <v>71</v>
      </c>
      <c r="T87" s="56">
        <v>0</v>
      </c>
      <c r="U87" s="52">
        <v>15.65</v>
      </c>
      <c r="V87" s="56">
        <f t="shared" si="21"/>
        <v>0</v>
      </c>
      <c r="W87" s="52">
        <v>2</v>
      </c>
      <c r="X87" s="56">
        <f t="shared" si="22"/>
        <v>0</v>
      </c>
      <c r="Y87" s="52">
        <v>4.8</v>
      </c>
      <c r="Z87" s="56">
        <f t="shared" si="23"/>
        <v>0</v>
      </c>
      <c r="AA87" s="56"/>
    </row>
    <row r="88" spans="5:46" x14ac:dyDescent="0.3">
      <c r="E88" s="52" t="s">
        <v>86</v>
      </c>
      <c r="F88" s="52">
        <f>'D Actual'!AC30</f>
        <v>0</v>
      </c>
      <c r="G88" s="52">
        <f>IF(AND(F88="Slack"),'D Actual'!AE30, ('D Actual'!AK30/TTHH!C117)*100)</f>
        <v>0</v>
      </c>
      <c r="H88" s="57">
        <v>0</v>
      </c>
      <c r="I88" s="52" t="s">
        <v>352</v>
      </c>
      <c r="J88" s="60">
        <v>0</v>
      </c>
      <c r="K88" s="57" t="str">
        <v>Igual</v>
      </c>
      <c r="L88" s="60">
        <v>0</v>
      </c>
      <c r="M88" s="57">
        <v>0</v>
      </c>
      <c r="N88" s="57">
        <v>0</v>
      </c>
      <c r="O88" s="56">
        <f>IFERROR(IF(H88="Vacio",0,IF(H88="Full",P88*Q88,IF(H88="Slack",P88*Q88,0))),"Error")</f>
        <v>0</v>
      </c>
      <c r="P88" s="32">
        <f>IFERROR(IF(H88="Vacio",0,IF(H88="Full",TTHH!C117,IF(H88="Slack",TTHH!C117*J88/100,0))),"Error")</f>
        <v>0</v>
      </c>
      <c r="Q88" s="32">
        <f>IF(K88="Igual",$L$86,IF(K88="Distinta",IF(AND(M88="Tm",N88="m3"),L88,IF(AND(M88="Tm",N88="m3"),L88,IF(AND(M88="Tm",N88="ft3"),L88/0.028316,IF(AND(M88="LT",N88="m3"),L88*1.01605,IF(AND(M88="LT",N88="ft3"),L88*(1.01605/0.028316),0)))))))</f>
        <v>1</v>
      </c>
      <c r="S88" s="52" t="s">
        <v>72</v>
      </c>
      <c r="T88" s="56">
        <v>1.08</v>
      </c>
      <c r="U88" s="52">
        <v>14.8</v>
      </c>
      <c r="V88" s="56">
        <f t="shared" si="21"/>
        <v>15.984000000000002</v>
      </c>
      <c r="W88" s="52">
        <v>1.2</v>
      </c>
      <c r="X88" s="56">
        <f t="shared" si="22"/>
        <v>1.296</v>
      </c>
      <c r="Y88" s="52">
        <v>-2.9</v>
      </c>
      <c r="Z88" s="56">
        <f t="shared" si="23"/>
        <v>-3.1320000000000001</v>
      </c>
      <c r="AA88" s="56"/>
    </row>
    <row r="89" spans="5:46" x14ac:dyDescent="0.3">
      <c r="E89" s="52" t="s">
        <v>87</v>
      </c>
      <c r="F89" s="52" t="str">
        <f>'D Actual'!AC31</f>
        <v>Slack</v>
      </c>
      <c r="G89" s="52">
        <f>IF(AND(F89="Slack"),'D Actual'!AE31, ('D Actual'!AK31/TTHH!C118)*100)</f>
        <v>13</v>
      </c>
      <c r="H89" s="57" t="str">
        <v>Vacio</v>
      </c>
      <c r="I89" s="52" t="s">
        <v>352</v>
      </c>
      <c r="J89" s="60">
        <v>0</v>
      </c>
      <c r="K89" s="57" t="str">
        <v>Igual</v>
      </c>
      <c r="L89" s="60">
        <v>0</v>
      </c>
      <c r="M89" s="57">
        <v>0</v>
      </c>
      <c r="N89" s="57">
        <v>0</v>
      </c>
      <c r="O89" s="56">
        <f>IFERROR(IF(H89="Vacio",0,IF(H89="Full",P89*Q89,IF(H89="Slack",P89*Q89,0))),"Error")</f>
        <v>0</v>
      </c>
      <c r="P89" s="32">
        <f>IFERROR(IF(H89="Vacio",0,IF(H89="Full",TTHH!C118,IF(H89="Slack",TTHH!C118*J89/100,0))),"Error")</f>
        <v>0</v>
      </c>
      <c r="Q89" s="32">
        <f>IF(K89="Igual",$L$86,IF(K89="Distinta",IF(AND(M89="Tm",N89="m3"),L89,IF(AND(M89="Tm",N89="m3"),L89,IF(AND(M89="Tm",N89="ft3"),L89/0.028316,IF(AND(M89="LT",N89="m3"),L89*1.01605,IF(AND(M89="LT",N89="ft3"),L89*(1.01605/0.028316),0)))))))</f>
        <v>1</v>
      </c>
      <c r="S89" s="52" t="s">
        <v>73</v>
      </c>
      <c r="T89" s="56">
        <v>0.72000000000000008</v>
      </c>
      <c r="U89" s="52">
        <v>14.5</v>
      </c>
      <c r="V89" s="56">
        <f t="shared" si="21"/>
        <v>10.440000000000001</v>
      </c>
      <c r="W89" s="52">
        <v>26.2</v>
      </c>
      <c r="X89" s="56">
        <f t="shared" si="22"/>
        <v>18.864000000000001</v>
      </c>
      <c r="Y89" s="52">
        <v>-2.8</v>
      </c>
      <c r="Z89" s="56">
        <f t="shared" si="23"/>
        <v>-2.016</v>
      </c>
      <c r="AA89" s="56"/>
    </row>
    <row r="90" spans="5:46" x14ac:dyDescent="0.3">
      <c r="E90" s="52" t="s">
        <v>88</v>
      </c>
      <c r="F90" s="52">
        <f>'D Actual'!AC32</f>
        <v>0</v>
      </c>
      <c r="G90" s="52">
        <f>IF(AND(F90="Slack"),'D Actual'!AE32, ('D Actual'!AK32/TTHH!C119)*100)</f>
        <v>0</v>
      </c>
      <c r="H90" s="57">
        <v>0</v>
      </c>
      <c r="I90" s="52" t="s">
        <v>352</v>
      </c>
      <c r="J90" s="60">
        <v>0</v>
      </c>
      <c r="K90" s="57" t="str">
        <v>Igual</v>
      </c>
      <c r="L90" s="60">
        <v>0</v>
      </c>
      <c r="M90" s="57">
        <v>0</v>
      </c>
      <c r="N90" s="57">
        <v>0</v>
      </c>
      <c r="O90" s="56">
        <f>IFERROR(IF(H90="Vacio",0,IF(H90="Full",P90*Q90,IF(H90="Slack",P90*Q90,0))),"Error")</f>
        <v>0</v>
      </c>
      <c r="P90" s="32">
        <f>IFERROR(IF(H90="Vacio",0,IF(H90="Full",TTHH!C119,IF(H90="Slack",TTHH!C119*J90/100,0))),"Error")</f>
        <v>0</v>
      </c>
      <c r="Q90" s="32">
        <f>IF(K90="Igual",$L$86,IF(K90="Distinta",IF(AND(M90="Tm",N90="m3"),L90,IF(AND(M90="Tm",N90="m3"),L90,IF(AND(M90="Tm",N90="ft3"),L90/0.028316,IF(AND(M90="LT",N90="m3"),L90*1.01605,IF(AND(M90="LT",N90="ft3"),L90*(1.01605/0.028316),0)))))))</f>
        <v>1</v>
      </c>
      <c r="S90" s="52" t="s">
        <v>74</v>
      </c>
      <c r="T90" s="56">
        <v>0.72000000000000008</v>
      </c>
      <c r="U90" s="52">
        <v>14.5</v>
      </c>
      <c r="V90" s="56">
        <f t="shared" si="21"/>
        <v>10.440000000000001</v>
      </c>
      <c r="W90" s="52">
        <v>26.2</v>
      </c>
      <c r="X90" s="56">
        <f t="shared" si="22"/>
        <v>18.864000000000001</v>
      </c>
      <c r="Y90" s="52">
        <v>-3.6</v>
      </c>
      <c r="Z90" s="56">
        <f t="shared" si="23"/>
        <v>-2.5920000000000005</v>
      </c>
      <c r="AA90" s="56"/>
    </row>
    <row r="91" spans="5:46" x14ac:dyDescent="0.3">
      <c r="E91" s="52" t="s">
        <v>89</v>
      </c>
      <c r="F91" s="52" t="str">
        <f>'D Actual'!AC33</f>
        <v>Slack</v>
      </c>
      <c r="G91" s="52">
        <f>IF(AND(F91="Slack"),'D Actual'!AE33, ('D Actual'!AK33/TTHH!C120)*100)</f>
        <v>4</v>
      </c>
      <c r="H91" s="57" t="str">
        <v>Vacio</v>
      </c>
      <c r="I91" s="52" t="s">
        <v>352</v>
      </c>
      <c r="J91" s="60">
        <v>0</v>
      </c>
      <c r="K91" s="57" t="str">
        <v>Igual</v>
      </c>
      <c r="L91" s="60">
        <v>0</v>
      </c>
      <c r="M91" s="57">
        <v>0</v>
      </c>
      <c r="N91" s="57">
        <v>0</v>
      </c>
      <c r="O91" s="56">
        <f>IFERROR(IF(H91="Vacio",0,IF(H91="Full",P91*Q91,IF(H91="Slack",P91*Q91,0))),"Error")</f>
        <v>0</v>
      </c>
      <c r="P91" s="32">
        <f>IFERROR(IF(H91="Vacio",0,IF(H91="Full",TTHH!C120,IF(H91="Slack",TTHH!C120*J91/100,0))),"Error")</f>
        <v>0</v>
      </c>
      <c r="Q91" s="32">
        <f>IF(K91="Igual",$L$86,IF(K91="Distinta",IF(AND(M91="Tm",N91="m3"),L91,IF(AND(M91="Tm",N91="m3"),L91,IF(AND(M91="Tm",N91="ft3"),L91/0.028316,IF(AND(M91="LT",N91="m3"),L91*1.01605,IF(AND(M91="LT",N91="ft3"),L91*(1.01605/0.028316),0)))))))</f>
        <v>1</v>
      </c>
      <c r="S91" s="54" t="s">
        <v>75</v>
      </c>
      <c r="T91" s="38"/>
      <c r="U91" s="38"/>
      <c r="V91" s="38"/>
      <c r="W91" s="38"/>
      <c r="X91" s="38"/>
      <c r="Y91" s="38"/>
      <c r="Z91" s="38"/>
      <c r="AA91" s="38"/>
      <c r="AD91" s="3" t="s">
        <v>489</v>
      </c>
      <c r="AG91" s="3" t="s">
        <v>490</v>
      </c>
      <c r="AJ91" s="3" t="s">
        <v>491</v>
      </c>
      <c r="AM91" s="3" t="s">
        <v>492</v>
      </c>
      <c r="AP91" s="3" t="s">
        <v>493</v>
      </c>
      <c r="AS91" s="3" t="s">
        <v>494</v>
      </c>
    </row>
    <row r="92" spans="5:46" x14ac:dyDescent="0.3">
      <c r="S92" s="52" t="s">
        <v>76</v>
      </c>
      <c r="T92" s="56" cm="1">
        <f t="array" ref="T92:T93">O76:O77</f>
        <v>119.5</v>
      </c>
      <c r="U92" s="52" cm="1">
        <f t="array" ref="U92:U93">_xlfn.ANCHORARRAY('Condición Actual'!V69)</f>
        <v>15.85</v>
      </c>
      <c r="V92" s="56">
        <f>T92*U92</f>
        <v>1894.075</v>
      </c>
      <c r="W92" s="52" cm="1">
        <f t="array" ref="W92:W93">_xlfn.ANCHORARRAY('Condición Actual'!X69)</f>
        <v>-0.81</v>
      </c>
      <c r="X92" s="56">
        <f>T92*W92</f>
        <v>-96.795000000000002</v>
      </c>
      <c r="Y92" s="52" cm="1">
        <f t="array" ref="Y92:Y93">_xlfn.ANCHORARRAY('Condición Actual'!Z69)</f>
        <v>-8.2200000000000006</v>
      </c>
      <c r="Z92" s="56">
        <f>T92*Y92</f>
        <v>-982.29000000000008</v>
      </c>
      <c r="AA92" s="56"/>
      <c r="AD92" s="3" t="s">
        <v>410</v>
      </c>
      <c r="AE92" s="20">
        <v>23.89</v>
      </c>
      <c r="AG92" s="3" t="s">
        <v>404</v>
      </c>
      <c r="AH92" s="20">
        <v>14.2</v>
      </c>
      <c r="AJ92" s="3" t="s">
        <v>422</v>
      </c>
      <c r="AK92" s="20">
        <v>6.81</v>
      </c>
      <c r="AM92" s="3" t="s">
        <v>433</v>
      </c>
      <c r="AN92" s="20">
        <v>16.23</v>
      </c>
      <c r="AP92" s="3" t="s">
        <v>85</v>
      </c>
      <c r="AQ92" s="19">
        <v>7.26</v>
      </c>
      <c r="AS92" s="3" t="s">
        <v>76</v>
      </c>
      <c r="AT92" s="20">
        <v>-0.81</v>
      </c>
    </row>
    <row r="93" spans="5:46" x14ac:dyDescent="0.3">
      <c r="S93" s="52" t="s">
        <v>77</v>
      </c>
      <c r="T93" s="56">
        <v>0</v>
      </c>
      <c r="U93" s="52">
        <v>15.85</v>
      </c>
      <c r="V93" s="56">
        <f>T93*U93</f>
        <v>0</v>
      </c>
      <c r="W93" s="52">
        <v>-0.81</v>
      </c>
      <c r="X93" s="56">
        <f>T93*W93</f>
        <v>0</v>
      </c>
      <c r="Y93" s="52">
        <v>8.2200000000000006</v>
      </c>
      <c r="Z93" s="56">
        <f>T93*Y93</f>
        <v>0</v>
      </c>
      <c r="AA93" s="56"/>
      <c r="AD93" s="3" t="s">
        <v>411</v>
      </c>
      <c r="AE93" s="22">
        <v>24.07</v>
      </c>
      <c r="AG93" s="3" t="s">
        <v>405</v>
      </c>
      <c r="AH93" s="22">
        <v>15.2</v>
      </c>
      <c r="AJ93" s="3" t="s">
        <v>423</v>
      </c>
      <c r="AK93" s="22">
        <v>7.61</v>
      </c>
      <c r="AM93" s="3" t="s">
        <v>434</v>
      </c>
      <c r="AN93" s="22">
        <v>17.25</v>
      </c>
      <c r="AP93" s="3" t="s">
        <v>437</v>
      </c>
      <c r="AQ93" s="21">
        <v>8.9600000000000009</v>
      </c>
      <c r="AS93" s="3" t="s">
        <v>77</v>
      </c>
      <c r="AT93" s="22">
        <v>-0.81</v>
      </c>
    </row>
    <row r="94" spans="5:46" x14ac:dyDescent="0.3">
      <c r="S94" s="54" t="s">
        <v>79</v>
      </c>
      <c r="T94" s="38"/>
      <c r="U94" s="38"/>
      <c r="V94" s="38"/>
      <c r="W94" s="38"/>
      <c r="X94" s="38"/>
      <c r="Y94" s="38"/>
      <c r="Z94" s="38"/>
      <c r="AA94" s="38"/>
      <c r="AD94" s="3" t="s">
        <v>412</v>
      </c>
      <c r="AE94" s="20">
        <v>17.920000000000002</v>
      </c>
      <c r="AG94" s="3" t="s">
        <v>406</v>
      </c>
      <c r="AH94" s="20">
        <v>12</v>
      </c>
      <c r="AJ94" s="3" t="s">
        <v>424</v>
      </c>
      <c r="AK94" s="20">
        <v>8.4</v>
      </c>
      <c r="AM94" s="3" t="s">
        <v>435</v>
      </c>
      <c r="AN94" s="20">
        <v>8.89</v>
      </c>
      <c r="AP94" s="3" t="s">
        <v>438</v>
      </c>
      <c r="AQ94" s="19">
        <v>23.4</v>
      </c>
    </row>
    <row r="95" spans="5:46" x14ac:dyDescent="0.3">
      <c r="S95" s="52" t="s">
        <v>80</v>
      </c>
      <c r="T95" s="56" cm="1">
        <f t="array" ref="T95:T97">O81:O83</f>
        <v>0</v>
      </c>
      <c r="U95" s="52" cm="1">
        <f t="array" ref="U95:U97">_xlfn.ANCHORARRAY('Condición Actual'!V72)</f>
        <v>1.5</v>
      </c>
      <c r="V95" s="56">
        <f>T95*U95</f>
        <v>0</v>
      </c>
      <c r="W95" s="52" cm="1">
        <f t="array" ref="W95:W97">_xlfn.ANCHORARRAY('Condición Actual'!X72)</f>
        <v>16.23</v>
      </c>
      <c r="X95" s="56">
        <f>T95*W95</f>
        <v>0</v>
      </c>
      <c r="Y95" s="52" cm="1">
        <f t="array" ref="Y95:Y97">_xlfn.ANCHORARRAY('Condición Actual'!Z72)</f>
        <v>-2.4500000000000002</v>
      </c>
      <c r="Z95" s="56">
        <f>T95*Y95</f>
        <v>0</v>
      </c>
      <c r="AA95" s="56"/>
      <c r="AD95" s="3" t="s">
        <v>413</v>
      </c>
      <c r="AE95" s="22">
        <v>17.47</v>
      </c>
      <c r="AG95" s="3" t="s">
        <v>407</v>
      </c>
      <c r="AH95" s="22">
        <v>13.6</v>
      </c>
      <c r="AJ95" s="3" t="s">
        <v>425</v>
      </c>
      <c r="AK95" s="22">
        <v>9.6199999999999992</v>
      </c>
      <c r="AP95" s="3" t="s">
        <v>440</v>
      </c>
      <c r="AQ95" s="21">
        <v>11.95</v>
      </c>
    </row>
    <row r="96" spans="5:46" x14ac:dyDescent="0.3">
      <c r="S96" s="52" t="s">
        <v>81</v>
      </c>
      <c r="T96" s="56">
        <v>0</v>
      </c>
      <c r="U96" s="52">
        <v>1.46</v>
      </c>
      <c r="V96" s="56">
        <f>T96*U96</f>
        <v>0</v>
      </c>
      <c r="W96" s="52">
        <v>17.25</v>
      </c>
      <c r="X96" s="56">
        <f>T96*W96</f>
        <v>0</v>
      </c>
      <c r="Y96" s="52">
        <v>2.56</v>
      </c>
      <c r="Z96" s="56">
        <f>T96*Y96</f>
        <v>0</v>
      </c>
      <c r="AA96" s="56"/>
      <c r="AD96" s="3" t="s">
        <v>414</v>
      </c>
      <c r="AE96" s="20">
        <v>22.4</v>
      </c>
      <c r="AJ96" s="3" t="s">
        <v>426</v>
      </c>
      <c r="AK96" s="20">
        <v>18</v>
      </c>
      <c r="AP96" s="3" t="s">
        <v>439</v>
      </c>
      <c r="AQ96" s="19">
        <v>13.21</v>
      </c>
    </row>
    <row r="97" spans="19:37" x14ac:dyDescent="0.3">
      <c r="S97" s="52" t="s">
        <v>82</v>
      </c>
      <c r="T97" s="56">
        <v>0</v>
      </c>
      <c r="U97" s="52">
        <v>1.58</v>
      </c>
      <c r="V97" s="56">
        <f>T97*U97</f>
        <v>0</v>
      </c>
      <c r="W97" s="52">
        <v>8.89</v>
      </c>
      <c r="X97" s="56">
        <f>T97*W97</f>
        <v>0</v>
      </c>
      <c r="Y97" s="52">
        <v>0</v>
      </c>
      <c r="Z97" s="56">
        <f>T97*Y97</f>
        <v>0</v>
      </c>
      <c r="AA97" s="56"/>
      <c r="AD97" s="3" t="s">
        <v>415</v>
      </c>
      <c r="AE97" s="22">
        <v>20.8</v>
      </c>
      <c r="AJ97" s="3" t="s">
        <v>427</v>
      </c>
      <c r="AK97" s="22">
        <v>2</v>
      </c>
    </row>
    <row r="98" spans="19:37" x14ac:dyDescent="0.3">
      <c r="S98" s="54" t="s">
        <v>84</v>
      </c>
      <c r="T98" s="38"/>
      <c r="U98" s="38"/>
      <c r="V98" s="38"/>
      <c r="W98" s="38"/>
      <c r="X98" s="38"/>
      <c r="Y98" s="38"/>
      <c r="Z98" s="38"/>
      <c r="AA98" s="38"/>
      <c r="AD98" s="3" t="s">
        <v>416</v>
      </c>
      <c r="AE98" s="20">
        <v>24</v>
      </c>
      <c r="AJ98" s="3" t="s">
        <v>428</v>
      </c>
      <c r="AK98" s="20">
        <v>2</v>
      </c>
    </row>
    <row r="99" spans="19:37" x14ac:dyDescent="0.3">
      <c r="S99" s="52" t="s">
        <v>85</v>
      </c>
      <c r="T99" s="56" cm="1">
        <f t="array" ref="T99:T103">O87:O91</f>
        <v>0</v>
      </c>
      <c r="U99" s="52" cm="1">
        <f t="array" ref="U99:U103">_xlfn.ANCHORARRAY('Condición Actual'!V76)</f>
        <v>3.23</v>
      </c>
      <c r="V99" s="56">
        <f>T99*U99</f>
        <v>0</v>
      </c>
      <c r="W99" s="52" cm="1">
        <f t="array" ref="W99:W103">_xlfn.ANCHORARRAY('Condición Actual'!X76)</f>
        <v>7.26</v>
      </c>
      <c r="X99" s="56">
        <f>T99*W99</f>
        <v>0</v>
      </c>
      <c r="Y99" s="52" cm="1">
        <f t="array" ref="Y99:Y103">_xlfn.ANCHORARRAY('Condición Actual'!Z76)</f>
        <v>0</v>
      </c>
      <c r="Z99" s="56">
        <f>T99*Y99</f>
        <v>0</v>
      </c>
      <c r="AA99" s="56"/>
      <c r="AD99" s="3" t="s">
        <v>417</v>
      </c>
      <c r="AE99" s="22">
        <v>19.2</v>
      </c>
      <c r="AJ99" s="3" t="s">
        <v>429</v>
      </c>
      <c r="AK99" s="22">
        <v>1.2</v>
      </c>
    </row>
    <row r="100" spans="19:37" x14ac:dyDescent="0.3">
      <c r="S100" s="52" t="s">
        <v>86</v>
      </c>
      <c r="T100" s="56">
        <v>0</v>
      </c>
      <c r="U100" s="52">
        <v>11.61</v>
      </c>
      <c r="V100" s="56">
        <f>T100*U100</f>
        <v>0</v>
      </c>
      <c r="W100" s="52">
        <v>8.9600000000000009</v>
      </c>
      <c r="X100" s="56">
        <f>T100*W100</f>
        <v>0</v>
      </c>
      <c r="Y100" s="52">
        <v>8.82</v>
      </c>
      <c r="Z100" s="56">
        <f>T100*Y100</f>
        <v>0</v>
      </c>
      <c r="AA100" s="56"/>
      <c r="AD100" s="3" t="s">
        <v>418</v>
      </c>
      <c r="AE100" s="20">
        <v>22.69</v>
      </c>
      <c r="AJ100" s="3" t="s">
        <v>430</v>
      </c>
      <c r="AK100" s="20">
        <v>26.2</v>
      </c>
    </row>
    <row r="101" spans="19:37" x14ac:dyDescent="0.3">
      <c r="S101" s="52" t="s">
        <v>87</v>
      </c>
      <c r="T101" s="56">
        <v>0</v>
      </c>
      <c r="U101" s="52">
        <v>1.27</v>
      </c>
      <c r="V101" s="56">
        <f>T101*U101</f>
        <v>0</v>
      </c>
      <c r="W101" s="52">
        <v>23.4</v>
      </c>
      <c r="X101" s="56">
        <f>T101*W101</f>
        <v>0</v>
      </c>
      <c r="Y101" s="52">
        <v>3.18</v>
      </c>
      <c r="Z101" s="56">
        <f>T101*Y101</f>
        <v>0</v>
      </c>
      <c r="AA101" s="56"/>
      <c r="AJ101" s="3" t="s">
        <v>431</v>
      </c>
      <c r="AK101" s="22">
        <v>26.2</v>
      </c>
    </row>
    <row r="102" spans="19:37" x14ac:dyDescent="0.3">
      <c r="S102" s="52" t="s">
        <v>88</v>
      </c>
      <c r="T102" s="56">
        <v>0</v>
      </c>
      <c r="U102" s="52">
        <v>1.34</v>
      </c>
      <c r="V102" s="56">
        <f>T102*U102</f>
        <v>0</v>
      </c>
      <c r="W102" s="52">
        <v>11.95</v>
      </c>
      <c r="X102" s="56">
        <f>T102*W102</f>
        <v>0</v>
      </c>
      <c r="Y102" s="52">
        <v>-0.18</v>
      </c>
      <c r="Z102" s="56">
        <f>T102*Y102</f>
        <v>0</v>
      </c>
      <c r="AA102" s="56"/>
    </row>
    <row r="103" spans="19:37" x14ac:dyDescent="0.3">
      <c r="S103" s="52" t="s">
        <v>89</v>
      </c>
      <c r="T103" s="56">
        <v>0</v>
      </c>
      <c r="U103" s="52">
        <v>1.28</v>
      </c>
      <c r="V103" s="56">
        <f>T103*U103</f>
        <v>0</v>
      </c>
      <c r="W103" s="52">
        <v>13.21</v>
      </c>
      <c r="X103" s="56">
        <f>T103*W103</f>
        <v>0</v>
      </c>
      <c r="Y103" s="52">
        <v>1.03</v>
      </c>
      <c r="Z103" s="56">
        <f>T103*Y103</f>
        <v>0</v>
      </c>
      <c r="AA103" s="56"/>
    </row>
    <row r="104" spans="19:37" x14ac:dyDescent="0.3"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9:37" x14ac:dyDescent="0.3">
      <c r="S105" s="52" t="s">
        <v>385</v>
      </c>
      <c r="T105" s="52">
        <f>'Condición Actual'!U82</f>
        <v>11044.1</v>
      </c>
      <c r="U105" s="52">
        <f>'Condición Actual'!V82</f>
        <v>11.85</v>
      </c>
      <c r="V105" s="56">
        <f>T105*U105</f>
        <v>130872.58500000001</v>
      </c>
      <c r="W105" s="52">
        <f>'Condición Actual'!X82</f>
        <v>84.08</v>
      </c>
      <c r="X105" s="56">
        <f>W105*T105</f>
        <v>928587.92799999996</v>
      </c>
      <c r="Y105" s="52">
        <f>'Condición Actual'!Z82</f>
        <v>0</v>
      </c>
      <c r="Z105" s="56">
        <f>T105*Y105</f>
        <v>0</v>
      </c>
      <c r="AA105" s="18"/>
      <c r="AC105" s="28"/>
    </row>
    <row r="106" spans="19:37" x14ac:dyDescent="0.3">
      <c r="S106" s="52" t="s">
        <v>461</v>
      </c>
      <c r="T106" s="56" cm="1">
        <f t="array" ref="T106:Z106">_xlfn.ANCHORARRAY('Condición Actual'!U83)</f>
        <v>21</v>
      </c>
      <c r="U106" s="56">
        <v>16.428571428571427</v>
      </c>
      <c r="V106" s="56">
        <v>345</v>
      </c>
      <c r="W106" s="56">
        <v>65.714285714285708</v>
      </c>
      <c r="X106" s="56">
        <v>1380</v>
      </c>
      <c r="Y106" s="56">
        <v>7.1428571428571432</v>
      </c>
      <c r="Z106" s="56">
        <v>150</v>
      </c>
      <c r="AA106" s="18"/>
      <c r="AB106" s="8" t="s">
        <v>580</v>
      </c>
    </row>
    <row r="107" spans="19:37" x14ac:dyDescent="0.3">
      <c r="S107" s="38"/>
      <c r="T107" s="52" t="s">
        <v>3</v>
      </c>
      <c r="U107" s="52" t="s">
        <v>17</v>
      </c>
      <c r="V107" s="52" t="s">
        <v>382</v>
      </c>
      <c r="W107" s="52" t="s">
        <v>15</v>
      </c>
      <c r="X107" s="52" t="s">
        <v>383</v>
      </c>
      <c r="Y107" s="52" t="s">
        <v>16</v>
      </c>
      <c r="Z107" s="52" t="s">
        <v>384</v>
      </c>
      <c r="AA107" s="52" t="s">
        <v>4</v>
      </c>
    </row>
    <row r="108" spans="19:37" x14ac:dyDescent="0.3">
      <c r="S108" s="54" t="s">
        <v>386</v>
      </c>
      <c r="T108" s="56">
        <f>SUM(T34:T106)</f>
        <v>45442.480984167531</v>
      </c>
      <c r="U108" s="56">
        <f ca="1">IFERROR(V108/T108,0)</f>
        <v>9.749726056495911</v>
      </c>
      <c r="V108" s="56">
        <f ca="1">SUM(V34:V106)</f>
        <v>443051.74092315813</v>
      </c>
      <c r="W108" s="56">
        <f ca="1">IFERROR(X108/T108,0)</f>
        <v>93.740131508288613</v>
      </c>
      <c r="X108" s="56">
        <f ca="1">SUM(X34:X106)</f>
        <v>4259784.1435187692</v>
      </c>
      <c r="Y108" s="56">
        <f>IFERROR(Z108/T108,0)</f>
        <v>7.7654444114287011E-5</v>
      </c>
      <c r="Z108" s="56">
        <f>SUM(Z34:Z106)</f>
        <v>3.5288105999995878</v>
      </c>
      <c r="AA108" s="56">
        <f>SUM(AA40:AA106)</f>
        <v>90</v>
      </c>
    </row>
  </sheetData>
  <conditionalFormatting sqref="H73:N74 H78:N79 H84:N85">
    <cfRule type="expression" dxfId="171" priority="126">
      <formula>$F73="Full"</formula>
    </cfRule>
  </conditionalFormatting>
  <conditionalFormatting sqref="I73:J74 I78:J79 I84:J85">
    <cfRule type="expression" dxfId="170" priority="125">
      <formula>$H73="Full"</formula>
    </cfRule>
  </conditionalFormatting>
  <conditionalFormatting sqref="I73:N74 I78:N79 I84:N85">
    <cfRule type="expression" dxfId="169" priority="124">
      <formula>$H73="Vacio"</formula>
    </cfRule>
  </conditionalFormatting>
  <conditionalFormatting sqref="L73:N74 L78:N79 L84:N85">
    <cfRule type="expression" dxfId="168" priority="123">
      <formula>$K73="Igual"</formula>
    </cfRule>
  </conditionalFormatting>
  <conditionalFormatting sqref="P16:Q91">
    <cfRule type="expression" dxfId="167" priority="110">
      <formula>$P$6="Ocultar"</formula>
    </cfRule>
  </conditionalFormatting>
  <conditionalFormatting sqref="P28:Q32">
    <cfRule type="expression" dxfId="166" priority="162">
      <formula>$O$6="Ocultar"</formula>
    </cfRule>
  </conditionalFormatting>
  <conditionalFormatting sqref="P35:Q59 Q37:Q60 P53:P60">
    <cfRule type="expression" dxfId="165" priority="153">
      <formula>$O$6="Ocultar"</formula>
    </cfRule>
  </conditionalFormatting>
  <conditionalFormatting sqref="P62:Q72">
    <cfRule type="expression" dxfId="164" priority="147">
      <formula>$O$6="Ocultar"</formula>
    </cfRule>
  </conditionalFormatting>
  <conditionalFormatting sqref="P75:Q77">
    <cfRule type="expression" dxfId="163" priority="141">
      <formula>$O$6="Ocultar"</formula>
    </cfRule>
  </conditionalFormatting>
  <conditionalFormatting sqref="P80:Q83">
    <cfRule type="expression" dxfId="162" priority="135">
      <formula>$O$6="Ocultar"</formula>
    </cfRule>
  </conditionalFormatting>
  <conditionalFormatting sqref="P86:Q91">
    <cfRule type="expression" dxfId="161" priority="129">
      <formula>$O$6="Ocultar"</formula>
    </cfRule>
  </conditionalFormatting>
  <conditionalFormatting sqref="Q8:R13 G14:R14">
    <cfRule type="expression" dxfId="160" priority="99">
      <formula>$P$6="Ocultar"</formula>
    </cfRule>
  </conditionalFormatting>
  <conditionalFormatting sqref="V21:V23">
    <cfRule type="expression" dxfId="159" priority="88">
      <formula>$P$6="Ocultar"</formula>
    </cfRule>
  </conditionalFormatting>
  <conditionalFormatting sqref="AA15">
    <cfRule type="expression" dxfId="158" priority="86">
      <formula>$P$6="Ocultar"</formula>
    </cfRule>
  </conditionalFormatting>
  <conditionalFormatting sqref="AA8:AB13">
    <cfRule type="expression" dxfId="157" priority="60">
      <formula>$P$6="Ocultar"</formula>
    </cfRule>
  </conditionalFormatting>
  <conditionalFormatting sqref="AC8:AC19">
    <cfRule type="expression" dxfId="156" priority="67">
      <formula>$P$6="Ocultar"</formula>
    </cfRule>
  </conditionalFormatting>
  <conditionalFormatting sqref="AC73:AE78">
    <cfRule type="expression" dxfId="155" priority="12">
      <formula>$P$6="Ocultar"</formula>
    </cfRule>
  </conditionalFormatting>
  <conditionalFormatting sqref="AC21:AL26">
    <cfRule type="expression" dxfId="154" priority="13">
      <formula>$P$6="Ocultar"</formula>
    </cfRule>
  </conditionalFormatting>
  <conditionalFormatting sqref="AC34:AL39">
    <cfRule type="expression" dxfId="153" priority="11">
      <formula>$P$6="Ocultar"</formula>
    </cfRule>
  </conditionalFormatting>
  <conditionalFormatting sqref="AC47:AL52">
    <cfRule type="expression" dxfId="152" priority="10">
      <formula>$P$6="Ocultar"</formula>
    </cfRule>
  </conditionalFormatting>
  <conditionalFormatting sqref="AC60:AL65">
    <cfRule type="expression" dxfId="151" priority="9">
      <formula>$P$6="Ocultar"</formula>
    </cfRule>
  </conditionalFormatting>
  <conditionalFormatting sqref="AD14:AG19">
    <cfRule type="expression" dxfId="150" priority="74">
      <formula>$P$6="Ocultar"</formula>
    </cfRule>
  </conditionalFormatting>
  <conditionalFormatting sqref="AD8:AI13">
    <cfRule type="expression" dxfId="149" priority="65">
      <formula>$P$6="Ocultar"</formula>
    </cfRule>
  </conditionalFormatting>
  <conditionalFormatting sqref="AF73:AF84">
    <cfRule type="expression" dxfId="148" priority="82">
      <formula>$P$6="Ocultar"</formula>
    </cfRule>
  </conditionalFormatting>
  <conditionalFormatting sqref="AG27:AJ32">
    <cfRule type="expression" dxfId="147" priority="28">
      <formula>$P$6="Ocultar"</formula>
    </cfRule>
  </conditionalFormatting>
  <conditionalFormatting sqref="AG40:AJ45">
    <cfRule type="expression" dxfId="146" priority="37">
      <formula>$P$6="Ocultar"</formula>
    </cfRule>
  </conditionalFormatting>
  <conditionalFormatting sqref="AG53:AJ58">
    <cfRule type="expression" dxfId="145" priority="46">
      <formula>$P$6="Ocultar"</formula>
    </cfRule>
  </conditionalFormatting>
  <conditionalFormatting sqref="AG66:AJ71">
    <cfRule type="expression" dxfId="144" priority="55">
      <formula>$P$6="Ocultar"</formula>
    </cfRule>
  </conditionalFormatting>
  <conditionalFormatting sqref="AM7:AQ62 AG73:AL78 AG79:AJ84 AD91:AT101">
    <cfRule type="expression" dxfId="143" priority="89">
      <formula>$P$6="Ocultar"</formula>
    </cfRule>
  </conditionalFormatting>
  <dataValidations count="3">
    <dataValidation type="list" allowBlank="1" showInputMessage="1" showErrorMessage="1" sqref="N88:N91" xr:uid="{D09852FF-53AA-4AB7-BB43-0F0128E46B4F}">
      <formula1>"m3,ft3"</formula1>
    </dataValidation>
    <dataValidation type="list" allowBlank="1" showInputMessage="1" showErrorMessage="1" sqref="P6" xr:uid="{1863D7E0-06E9-45E8-BCE6-F817341D629B}">
      <formula1>"Ver Cuentas, Ocultar"</formula1>
    </dataValidation>
    <dataValidation type="list" allowBlank="1" showInputMessage="1" showErrorMessage="1" sqref="S21" xr:uid="{2BFE9349-B6A2-42D0-85D0-E9CE9F53896B}">
      <formula1>"A SAL (cm),A LLEG (cm)"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05AC-E57E-4FF8-AEC5-EE725F046FE8}">
  <sheetPr>
    <tabColor rgb="FF223B82"/>
  </sheetPr>
  <dimension ref="F10:AG85"/>
  <sheetViews>
    <sheetView topLeftCell="E6" workbookViewId="0">
      <selection activeCell="F24" sqref="F24:G28"/>
    </sheetView>
    <sheetView topLeftCell="A7" workbookViewId="1">
      <selection activeCell="O10" sqref="O10"/>
    </sheetView>
  </sheetViews>
  <sheetFormatPr baseColWidth="10" defaultRowHeight="14.4" x14ac:dyDescent="0.3"/>
  <cols>
    <col min="1" max="16384" width="11.5546875" style="8"/>
  </cols>
  <sheetData>
    <row r="10" spans="6:33" x14ac:dyDescent="0.3">
      <c r="F10" s="54" t="s">
        <v>505</v>
      </c>
      <c r="G10" s="56">
        <f ca="1">U85</f>
        <v>53080.9</v>
      </c>
      <c r="I10" s="52" t="s">
        <v>513</v>
      </c>
      <c r="J10" s="56">
        <f ca="1">IFERROR(DEGREES(ATAN(Z85)/G16),0)</f>
        <v>1.021986283377675E-3</v>
      </c>
      <c r="O10" s="57" t="s">
        <v>350</v>
      </c>
      <c r="T10" s="54" t="s">
        <v>11</v>
      </c>
      <c r="U10" s="52" t="s">
        <v>3</v>
      </c>
      <c r="V10" s="52" t="s">
        <v>17</v>
      </c>
      <c r="W10" s="52" t="s">
        <v>382</v>
      </c>
      <c r="X10" s="52" t="s">
        <v>15</v>
      </c>
      <c r="Y10" s="52" t="s">
        <v>383</v>
      </c>
      <c r="Z10" s="52" t="s">
        <v>16</v>
      </c>
      <c r="AA10" s="52" t="s">
        <v>384</v>
      </c>
      <c r="AB10" s="52" t="s">
        <v>4</v>
      </c>
      <c r="AD10" s="54" t="s">
        <v>11</v>
      </c>
      <c r="AE10" s="52" t="s">
        <v>387</v>
      </c>
      <c r="AF10" s="52" t="s">
        <v>354</v>
      </c>
      <c r="AG10" s="52" t="s">
        <v>388</v>
      </c>
    </row>
    <row r="11" spans="6:33" x14ac:dyDescent="0.3">
      <c r="F11" s="52" t="s">
        <v>506</v>
      </c>
      <c r="G11" s="56">
        <f ca="1">V85</f>
        <v>10.147751188294089</v>
      </c>
      <c r="I11" s="54" t="s">
        <v>380</v>
      </c>
      <c r="T11" s="52" t="s">
        <v>6</v>
      </c>
      <c r="U11" s="56" cm="1">
        <f t="array" aca="1" ref="U11:U15" ca="1">_xlfn.ANCHORARRAY('Carga y Reparto'!Z16)</f>
        <v>10453.033452397769</v>
      </c>
      <c r="V11" s="56">
        <f ca="1">IFERROR(FORECAST('Carga y Reparto'!AC9, OFFSET(TTHH!$AB$10, MATCH('Carga y Reparto'!AC9,TTHH!$Y$10:$Y$99,-1)-1, 0, 2), OFFSET(TTHH!$Y$10, MATCH('Carga y Reparto'!AC9,TTHH!$Y$10:$Y$99,-1)-1, 0, 2)),0)</f>
        <v>10.119999999999999</v>
      </c>
      <c r="W11" s="56">
        <f ca="1">U11*V11</f>
        <v>105784.69853826541</v>
      </c>
      <c r="X11" s="56">
        <f ca="1">IFERROR(FORECAST('Carga y Reparto'!AF74, OFFSET(TTHH!$AA$10,MATCH('Carga y Reparto'!AF74,TTHH!$Y$10:$Y$99,-1)-1,0,2), OFFSET(TTHH!$Y$10,MATCH('Carga y Reparto'!AF74,TTHH!$Y$10:$Y$99,-1)-1,0,2)),0)</f>
        <v>158.59</v>
      </c>
      <c r="Y11" s="56">
        <f ca="1">U11*X11</f>
        <v>1657746.5752157622</v>
      </c>
      <c r="Z11" s="52" cm="1">
        <f t="array" ref="Z11:Z15">TTHH!F9:F13</f>
        <v>0</v>
      </c>
      <c r="AA11" s="56">
        <f ca="1">U11*Z11</f>
        <v>0</v>
      </c>
      <c r="AB11" s="18"/>
      <c r="AD11" s="52" t="s">
        <v>6</v>
      </c>
      <c r="AE11" s="56">
        <f ca="1">IFERROR(FORECAST('Carga y Reparto'!AC9, OFFSET(TTHH!Z10, MATCH('Carga y Reparto'!AC9,TTHH!$Y$10:$Y$99,-1)-1, 0, 2), OFFSET(TTHH!$Y$10, MATCH('Carga y Reparto'!AC9,TTHH!$Y$10:$Y$99,-1)-1, 0, 2)),0)</f>
        <v>536</v>
      </c>
      <c r="AF11" s="56" cm="1">
        <f t="array" ref="AF11:AF15">'Carga y Reparto'!AF80:AF84</f>
        <v>1.1892720000000001</v>
      </c>
      <c r="AG11" s="56">
        <f ca="1">IFERROR(AE11/AF11,0)</f>
        <v>450.69588790453315</v>
      </c>
    </row>
    <row r="12" spans="6:33" x14ac:dyDescent="0.3">
      <c r="F12" s="52" t="s">
        <v>507</v>
      </c>
      <c r="G12" s="56">
        <f ca="1">G11+M12</f>
        <v>10.161334228521365</v>
      </c>
      <c r="I12" s="52" t="s">
        <v>374</v>
      </c>
      <c r="J12" s="56">
        <f ca="1">'Calados Act Sal Lleg'!M19</f>
        <v>10.664967333567942</v>
      </c>
      <c r="L12" s="29" t="s">
        <v>370</v>
      </c>
      <c r="M12" s="40">
        <f ca="1">IFERROR(AB85/U85,"")</f>
        <v>1.3583040227275724E-2</v>
      </c>
      <c r="O12" s="29" t="s">
        <v>393</v>
      </c>
      <c r="P12" s="32">
        <f ca="1">IFERROR(AG17/G10,"")</f>
        <v>0.61556505076148615</v>
      </c>
      <c r="T12" s="52" t="s">
        <v>7</v>
      </c>
      <c r="U12" s="56">
        <f ca="1"/>
        <v>6666.7965382446964</v>
      </c>
      <c r="V12" s="56">
        <f ca="1">IFERROR(FORECAST('Carga y Reparto'!AC10, OFFSET(TTHH!$AI$10,MATCH('Carga y Reparto'!AC10,TTHH!$AF$10:$AF$100,-1)-1,0,2), OFFSET(TTHH!$AF$10,MATCH('Carga y Reparto'!AC10,TTHH!$AF$10:$AF$100,-1)-1,0,2)),0)</f>
        <v>7.1807724616872548</v>
      </c>
      <c r="W12" s="56">
        <f ca="1">U12*V12</f>
        <v>47872.748989499436</v>
      </c>
      <c r="X12" s="56">
        <f ca="1">IFERROR(FORECAST('Carga y Reparto'!AF75, OFFSET(TTHH!$AH$10,MATCH('Carga y Reparto'!AF75,TTHH!$AF$10:$AF$100,-1)-1,0,2), OFFSET(TTHH!$AF$10,MATCH('Carga y Reparto'!AF75,TTHH!$AF$10:$AF$100,-1)-1,0,2)),0)</f>
        <v>130.02000000000001</v>
      </c>
      <c r="Y12" s="56">
        <f ca="1">U12*X12</f>
        <v>866816.88590257545</v>
      </c>
      <c r="Z12" s="52">
        <v>0</v>
      </c>
      <c r="AA12" s="56">
        <f ca="1">U12*Z12</f>
        <v>0</v>
      </c>
      <c r="AB12" s="18"/>
      <c r="AD12" s="52" t="s">
        <v>7</v>
      </c>
      <c r="AE12" s="56">
        <f ca="1">IFERROR(FORECAST('Carga y Reparto'!AC10, OFFSET(TTHH!AG10,MATCH('Carga y Reparto'!AC10,TTHH!$AF$10:$AF$100,-1)-1,0,2), OFFSET(TTHH!$AF$10,MATCH('Carga y Reparto'!AC10,TTHH!$AF$10:$AF$100,-1)-1,0,2)),0)</f>
        <v>25996.562545491717</v>
      </c>
      <c r="AF12" s="56">
        <v>1.2742200000000001</v>
      </c>
      <c r="AG12" s="56">
        <f ca="1">IFERROR(AE12/AF12,0)</f>
        <v>20401.942008045484</v>
      </c>
    </row>
    <row r="13" spans="6:33" x14ac:dyDescent="0.3">
      <c r="F13" s="52" t="s">
        <v>508</v>
      </c>
      <c r="G13" s="56">
        <f ca="1">X85</f>
        <v>97.886345795700066</v>
      </c>
      <c r="I13" s="52" t="s">
        <v>375</v>
      </c>
      <c r="J13" s="56">
        <f ca="1">'Calados Act Sal Lleg'!O19</f>
        <v>10.677225342156758</v>
      </c>
      <c r="L13" s="29" t="s">
        <v>390</v>
      </c>
      <c r="M13" s="40">
        <f ca="1">IFERROR(FORECAST(M18, OFFSET(TTHH!CR10, MATCH(M18,Tabla4[[#All],[Columna1]],1)-1, 0, 2), OFFSET(TTHH!CL10, MATCH(M18,Tabla4[[#All],[Columna1]],1)-1, 0, 2)),"")</f>
        <v>9.2186872113676728</v>
      </c>
      <c r="O13" s="29" t="s">
        <v>394</v>
      </c>
      <c r="P13" s="32">
        <f ca="1">IFERROR(0.8*P12,"")</f>
        <v>0.49245204060918896</v>
      </c>
      <c r="T13" s="52" t="s">
        <v>8</v>
      </c>
      <c r="U13" s="56">
        <f ca="1"/>
        <v>11226.447776454837</v>
      </c>
      <c r="V13" s="56">
        <f ca="1">IFERROR(FORECAST('Carga y Reparto'!AC11, OFFSET(TTHH!$AP$10,MATCH('Carga y Reparto'!AC11,TTHH!$AM$10:$AM$100,-1)-1,0,2), OFFSET(TTHH!$AM$10,MATCH('Carga y Reparto'!AC11,TTHH!$AM$10:$AM$100,-1)-1,0,2)),0)</f>
        <v>10.210000000000001</v>
      </c>
      <c r="W13" s="56">
        <f ca="1">U13*V13</f>
        <v>114622.03179760389</v>
      </c>
      <c r="X13" s="56">
        <f ca="1">IFERROR(FORECAST('Carga y Reparto'!AF76, OFFSET(TTHH!$AO$10,MATCH('Carga y Reparto'!AF76,TTHH!$AM$10:$AM$100,-1)-1,0,2), OFFSET(TTHH!$AM$10,MATCH('Carga y Reparto'!AF76,TTHH!$AM$10:$AM$100,-1)-1,0,2)),0)</f>
        <v>101.22</v>
      </c>
      <c r="Y13" s="56">
        <f ca="1">U13*X13</f>
        <v>1136341.0439327587</v>
      </c>
      <c r="Z13" s="52">
        <v>0</v>
      </c>
      <c r="AA13" s="56">
        <f ca="1">U13*Z13</f>
        <v>0</v>
      </c>
      <c r="AB13" s="18"/>
      <c r="AD13" s="52" t="s">
        <v>8</v>
      </c>
      <c r="AE13" s="56">
        <f ca="1">IFERROR(FORECAST('Carga y Reparto'!AC11, OFFSET(TTHH!AN10,MATCH('Carga y Reparto'!AC11,TTHH!$AM$10:$AM$100,-1)-1,0,2), OFFSET(TTHH!$AM$10,MATCH('Carga y Reparto'!AC11,TTHH!$AM$10:$AM$100,-1)-1,0,2)),0)</f>
        <v>688</v>
      </c>
      <c r="AF13" s="56">
        <v>1.1892720000000001</v>
      </c>
      <c r="AG13" s="56">
        <f ca="1">IFERROR(AE13/AF13,0)</f>
        <v>578.50516954910222</v>
      </c>
    </row>
    <row r="14" spans="6:33" x14ac:dyDescent="0.3">
      <c r="F14" s="52" t="s">
        <v>509</v>
      </c>
      <c r="G14" s="56">
        <f ca="1">Z85</f>
        <v>6.6479856219461012E-5</v>
      </c>
      <c r="I14" s="52" t="s">
        <v>376</v>
      </c>
      <c r="J14" s="56">
        <f ca="1">'Calados Act Sal Lleg'!Q19</f>
        <v>10.67163003149456</v>
      </c>
      <c r="L14" s="29" t="s">
        <v>391</v>
      </c>
      <c r="M14" s="40">
        <f ca="1">IFERROR(FORECAST(M18, OFFSET(TTHH!P22, MATCH(M18,Tabla22[[#All],[Columna1]],1)-1, 0, 2), OFFSET(TTHH!J22, MATCH(M18,Tabla22[[#All],[Columna1]],1)-1, 0, 2)),"")</f>
        <v>13.888404973357014</v>
      </c>
      <c r="O14" s="29" t="s">
        <v>395</v>
      </c>
      <c r="P14" s="32">
        <f ca="1">IFERROR(M13-G12*SIN(RADIANS(40))-ABS(Z85)*COS(RADIANS(40)),"")</f>
        <v>2.6870565448659733</v>
      </c>
      <c r="T14" s="52" t="s">
        <v>9</v>
      </c>
      <c r="U14" s="56">
        <f ca="1"/>
        <v>971.62247758777448</v>
      </c>
      <c r="V14" s="56">
        <f ca="1">IFERROR(FORECAST('Carga y Reparto'!AC12, OFFSET(TTHH!$AW$10,MATCH('Carga y Reparto'!AC12,TTHH!$AT$10:$AT$100,-1)-1,0,2), OFFSET(TTHH!$AT$10,MATCH('Carga y Reparto'!AC12,TTHH!$AT$10:$AT$100,-1)-1,0,2)),0)</f>
        <v>2.6451242211056494</v>
      </c>
      <c r="W14" s="56">
        <f ca="1">U14*V14</f>
        <v>2570.0621492381033</v>
      </c>
      <c r="X14" s="56">
        <f ca="1">IFERROR(FORECAST('Carga y Reparto'!AF77, OFFSET(TTHH!$AV$10,MATCH('Carga y Reparto'!AF77,TTHH!$AT$10:$AT$100,-1)-1,0,2), OFFSET(TTHH!$AT$10,MATCH('Carga y Reparto'!AF77,TTHH!$AT$10:$AT$100,-1)-1,0,2)),0)</f>
        <v>72.400000000000006</v>
      </c>
      <c r="Y14" s="56">
        <f ca="1">U14*X14</f>
        <v>70345.467377354871</v>
      </c>
      <c r="Z14" s="52">
        <v>0</v>
      </c>
      <c r="AA14" s="56">
        <f ca="1">U14*Z14</f>
        <v>0</v>
      </c>
      <c r="AB14" s="18"/>
      <c r="AD14" s="52" t="s">
        <v>9</v>
      </c>
      <c r="AE14" s="56">
        <f ca="1">IFERROR(FORECAST('Carga y Reparto'!AC12, OFFSET(TTHH!AU10,MATCH('Carga y Reparto'!AC12,TTHH!$AT$10:$AT$100,-1)-1,0,2), OFFSET(TTHH!$AT$10,MATCH('Carga y Reparto'!AC12,TTHH!$AT$10:$AT$100,-1)-1,0,2)),0)</f>
        <v>12584.816428142238</v>
      </c>
      <c r="AF14" s="56">
        <v>1.18</v>
      </c>
      <c r="AG14" s="56">
        <f ca="1">IFERROR(AE14/AF14,0)</f>
        <v>10665.098667917151</v>
      </c>
    </row>
    <row r="15" spans="6:33" x14ac:dyDescent="0.3">
      <c r="F15" s="52" t="s">
        <v>370</v>
      </c>
      <c r="G15" s="56">
        <f ca="1">M12</f>
        <v>1.3583040227275724E-2</v>
      </c>
      <c r="I15" s="54" t="s">
        <v>381</v>
      </c>
      <c r="J15" s="41"/>
      <c r="L15" s="29" t="s">
        <v>392</v>
      </c>
      <c r="M15" s="40">
        <f ca="1">IFERROR(M14-G11,"")</f>
        <v>3.7406537850629249</v>
      </c>
      <c r="O15" s="29" t="s">
        <v>396</v>
      </c>
      <c r="P15" s="32">
        <f ca="1">IFERROR(RADIANS(((P14-P13)*(40-M17))/2),"")</f>
        <v>0.586451863119822</v>
      </c>
      <c r="T15" s="52" t="s">
        <v>10</v>
      </c>
      <c r="U15" s="56">
        <f ca="1"/>
        <v>11154.218715314913</v>
      </c>
      <c r="V15" s="56">
        <f ca="1">IFERROR(FORECAST('Carga y Reparto'!AC13, OFFSET(TTHH!$BD$10,MATCH('Carga y Reparto'!AC13,TTHH!$BA$10:$BA$100,-1)-1,0,2), OFFSET(TTHH!$BA$10,MATCH('Carga y Reparto'!AC13,TTHH!$BA$10:$BA$100,-1)-1,0,2)),0)</f>
        <v>10.52</v>
      </c>
      <c r="W15" s="56">
        <f ca="1">U15*V15</f>
        <v>117342.38088511289</v>
      </c>
      <c r="X15" s="56">
        <f ca="1">IFERROR(FORECAST('Carga y Reparto'!AF78, OFFSET(TTHH!$BC$10,MATCH('Carga y Reparto'!AF78,TTHH!$BA$10:$BA$100,-1)-1,0,2), OFFSET(TTHH!$BA$10,MATCH('Carga y Reparto'!AF78,TTHH!$BA$10:$BA$100,-1)-1,0,2)),0)</f>
        <v>43.26</v>
      </c>
      <c r="Y15" s="56">
        <f ca="1">U15*X15</f>
        <v>482531.50162452314</v>
      </c>
      <c r="Z15" s="52">
        <v>0</v>
      </c>
      <c r="AA15" s="56">
        <f ca="1">U15*Z15</f>
        <v>0</v>
      </c>
      <c r="AB15" s="18"/>
      <c r="AD15" s="52" t="s">
        <v>10</v>
      </c>
      <c r="AE15" s="56">
        <f ca="1">IFERROR(FORECAST('Carga y Reparto'!AC13, OFFSET(TTHH!BB10,MATCH('Carga y Reparto'!AC13,TTHH!$BA$10:$BA$100,-1)-1,0,2), OFFSET(TTHH!$BA$10,MATCH('Carga y Reparto'!AC13,TTHH!$BA$10:$BA$100,-1)-1,0,2)),0)</f>
        <v>688</v>
      </c>
      <c r="AF15" s="56">
        <v>1.1892720000000001</v>
      </c>
      <c r="AG15" s="56">
        <f ca="1">IFERROR(AE15/AF15,0)</f>
        <v>578.50516954910222</v>
      </c>
    </row>
    <row r="16" spans="6:33" x14ac:dyDescent="0.3">
      <c r="F16" s="52" t="s">
        <v>510</v>
      </c>
      <c r="G16" s="26">
        <f ca="1">IFERROR(M15-M12,0)</f>
        <v>3.727070744835649</v>
      </c>
      <c r="I16" s="52" t="s">
        <v>377</v>
      </c>
      <c r="J16" s="56">
        <f ca="1">'Calados Act Sal Lleg'!M18</f>
        <v>10.642905313881629</v>
      </c>
      <c r="L16" s="29" t="s">
        <v>397</v>
      </c>
      <c r="M16" s="32">
        <f ca="1">IFERROR(ATAN(AG17/(G10*G16)),"")</f>
        <v>0.16368290878777703</v>
      </c>
      <c r="T16" s="54" t="s">
        <v>19</v>
      </c>
      <c r="U16" s="38"/>
      <c r="V16" s="38"/>
      <c r="W16" s="38"/>
      <c r="X16" s="38"/>
      <c r="Y16" s="38"/>
      <c r="Z16" s="38"/>
      <c r="AA16" s="38"/>
      <c r="AB16" s="38"/>
      <c r="AD16" s="18"/>
      <c r="AE16" s="18"/>
      <c r="AF16" s="18"/>
      <c r="AG16" s="18"/>
    </row>
    <row r="17" spans="6:33" x14ac:dyDescent="0.3">
      <c r="F17" s="52" t="s">
        <v>511</v>
      </c>
      <c r="G17" s="34">
        <f ca="1">M17</f>
        <v>9.3783398519644372</v>
      </c>
      <c r="I17" s="52" t="s">
        <v>378</v>
      </c>
      <c r="J17" s="56">
        <f ca="1">'Calados Act Sal Lleg'!O18</f>
        <v>10.656276028607227</v>
      </c>
      <c r="L17" s="29" t="s">
        <v>398</v>
      </c>
      <c r="M17" s="32">
        <f ca="1">IFERROR(DEGREES(M16),"")</f>
        <v>9.3783398519644372</v>
      </c>
      <c r="T17" s="52" t="s">
        <v>20</v>
      </c>
      <c r="U17" s="56" cm="1">
        <f t="array" ref="U17:U40">'Carga y Reparto'!O36:O59</f>
        <v>0</v>
      </c>
      <c r="V17" s="52">
        <f>TTHH!G21</f>
        <v>9.3000000000000007</v>
      </c>
      <c r="W17" s="56">
        <f>U17*V17</f>
        <v>0</v>
      </c>
      <c r="X17" s="52">
        <f>TTHH!E21</f>
        <v>179.02</v>
      </c>
      <c r="Y17" s="56">
        <f t="shared" ref="Y17:Y41" si="0">U17*X17</f>
        <v>0</v>
      </c>
      <c r="Z17" s="52">
        <f>TTHH!F21</f>
        <v>0</v>
      </c>
      <c r="AA17" s="56">
        <f>U17*Z17</f>
        <v>0</v>
      </c>
      <c r="AB17" s="56">
        <f>IF(AND('Carga y Reparto'!P36&lt;TTHH!D21,'Carga y Reparto'!P36&lt;&gt;0),TTHH!H21,0)</f>
        <v>0</v>
      </c>
      <c r="AD17" s="18"/>
      <c r="AE17" s="18"/>
      <c r="AF17" s="52" t="s">
        <v>389</v>
      </c>
      <c r="AG17" s="56">
        <f ca="1">SUM(AG11:AG15)</f>
        <v>32674.746902965373</v>
      </c>
    </row>
    <row r="18" spans="6:33" x14ac:dyDescent="0.3">
      <c r="F18" s="52" t="s">
        <v>512</v>
      </c>
      <c r="G18" s="27">
        <f ca="1">P15</f>
        <v>0.586451863119822</v>
      </c>
      <c r="I18" s="52" t="s">
        <v>379</v>
      </c>
      <c r="J18" s="56">
        <f ca="1">J14-0.022</f>
        <v>10.64963003149456</v>
      </c>
      <c r="L18" s="29" t="s">
        <v>540</v>
      </c>
      <c r="M18" s="32">
        <f ca="1">IFERROR(FORECAST(G10, OFFSET(TTHH!$J$22,MATCH(G10,TTHH!$K$22:$K$129,1)-1,0,2), OFFSET(TTHH!$K$22,MATCH(G10,TTHH!$K$22:$K$129,1)-1,0,2)),0)</f>
        <v>10.507975133214922</v>
      </c>
      <c r="T18" s="52" t="s">
        <v>21</v>
      </c>
      <c r="U18" s="56">
        <v>0</v>
      </c>
      <c r="V18" s="52">
        <f>TTHH!G22</f>
        <v>0.91</v>
      </c>
      <c r="W18" s="56">
        <f t="shared" ref="W18:W41" si="1">U18*V18</f>
        <v>0</v>
      </c>
      <c r="X18" s="52">
        <f>TTHH!E22</f>
        <v>157.12</v>
      </c>
      <c r="Y18" s="56">
        <f t="shared" si="0"/>
        <v>0</v>
      </c>
      <c r="Z18" s="52">
        <f>TTHH!F22</f>
        <v>-5.15</v>
      </c>
      <c r="AA18" s="56">
        <f t="shared" ref="AA18:AA41" si="2">U18*Z18</f>
        <v>0</v>
      </c>
      <c r="AB18" s="56">
        <f>IF(AND('Carga y Reparto'!P37&lt;TTHH!D22,'Carga y Reparto'!P37&lt;&gt;0),TTHH!H22,0)</f>
        <v>0</v>
      </c>
    </row>
    <row r="19" spans="6:33" x14ac:dyDescent="0.3">
      <c r="T19" s="52" t="s">
        <v>25</v>
      </c>
      <c r="U19" s="56">
        <v>0</v>
      </c>
      <c r="V19" s="52">
        <f>TTHH!G23</f>
        <v>0.91</v>
      </c>
      <c r="W19" s="56">
        <f t="shared" si="1"/>
        <v>0</v>
      </c>
      <c r="X19" s="52">
        <f>TTHH!E23</f>
        <v>157.12</v>
      </c>
      <c r="Y19" s="56">
        <f t="shared" si="0"/>
        <v>0</v>
      </c>
      <c r="Z19" s="52">
        <f>TTHH!F23</f>
        <v>5.15</v>
      </c>
      <c r="AA19" s="56">
        <f t="shared" si="2"/>
        <v>0</v>
      </c>
      <c r="AB19" s="56">
        <f>IF(AND('Carga y Reparto'!P38&lt;TTHH!D23,'Carga y Reparto'!P38&lt;&gt;0),TTHH!H23,0)</f>
        <v>0</v>
      </c>
    </row>
    <row r="20" spans="6:33" x14ac:dyDescent="0.3">
      <c r="T20" s="52" t="s">
        <v>23</v>
      </c>
      <c r="U20" s="56">
        <v>0</v>
      </c>
      <c r="V20" s="52">
        <f>TTHH!G24</f>
        <v>7.19</v>
      </c>
      <c r="W20" s="56">
        <f t="shared" si="1"/>
        <v>0</v>
      </c>
      <c r="X20" s="52">
        <f>TTHH!E24</f>
        <v>158.83000000000001</v>
      </c>
      <c r="Y20" s="56">
        <f t="shared" si="0"/>
        <v>0</v>
      </c>
      <c r="Z20" s="52">
        <f>TTHH!F24</f>
        <v>-12.75</v>
      </c>
      <c r="AA20" s="56">
        <f t="shared" si="2"/>
        <v>0</v>
      </c>
      <c r="AB20" s="56">
        <f>IF(AND('Carga y Reparto'!P39&lt;TTHH!D24,'Carga y Reparto'!P39&lt;&gt;0),TTHH!H24,0)</f>
        <v>0</v>
      </c>
    </row>
    <row r="21" spans="6:33" x14ac:dyDescent="0.3">
      <c r="T21" s="52" t="s">
        <v>26</v>
      </c>
      <c r="U21" s="56">
        <v>0</v>
      </c>
      <c r="V21" s="52">
        <f>TTHH!G25</f>
        <v>7.19</v>
      </c>
      <c r="W21" s="56">
        <f t="shared" si="1"/>
        <v>0</v>
      </c>
      <c r="X21" s="52">
        <f>TTHH!E25</f>
        <v>158.83000000000001</v>
      </c>
      <c r="Y21" s="56">
        <f t="shared" si="0"/>
        <v>0</v>
      </c>
      <c r="Z21" s="52">
        <f>TTHH!F25</f>
        <v>12.75</v>
      </c>
      <c r="AA21" s="56">
        <f t="shared" si="2"/>
        <v>0</v>
      </c>
      <c r="AB21" s="56">
        <f>IF(AND('Carga y Reparto'!P40&lt;TTHH!D25,'Carga y Reparto'!P40&lt;&gt;0),TTHH!H25,0)</f>
        <v>0</v>
      </c>
    </row>
    <row r="22" spans="6:33" x14ac:dyDescent="0.3">
      <c r="T22" s="52" t="s">
        <v>22</v>
      </c>
      <c r="U22" s="56">
        <v>0</v>
      </c>
      <c r="V22" s="52">
        <f>TTHH!G26</f>
        <v>1.24</v>
      </c>
      <c r="W22" s="56">
        <f t="shared" si="1"/>
        <v>0</v>
      </c>
      <c r="X22" s="52">
        <f>TTHH!E26</f>
        <v>132.91</v>
      </c>
      <c r="Y22" s="56">
        <f t="shared" si="0"/>
        <v>0</v>
      </c>
      <c r="Z22" s="52">
        <f>TTHH!F26</f>
        <v>-7.49</v>
      </c>
      <c r="AA22" s="56">
        <f t="shared" si="2"/>
        <v>0</v>
      </c>
      <c r="AB22" s="56">
        <f>IF(AND('Carga y Reparto'!P41&lt;TTHH!D26,'Carga y Reparto'!P41&lt;&gt;0),TTHH!H26,0)</f>
        <v>0</v>
      </c>
    </row>
    <row r="23" spans="6:33" x14ac:dyDescent="0.3">
      <c r="T23" s="52" t="s">
        <v>31</v>
      </c>
      <c r="U23" s="56">
        <v>0</v>
      </c>
      <c r="V23" s="52">
        <f>TTHH!G27</f>
        <v>1.24</v>
      </c>
      <c r="W23" s="56">
        <f t="shared" si="1"/>
        <v>0</v>
      </c>
      <c r="X23" s="52">
        <f>TTHH!E27</f>
        <v>132.91</v>
      </c>
      <c r="Y23" s="56">
        <f t="shared" si="0"/>
        <v>0</v>
      </c>
      <c r="Z23" s="52">
        <f>TTHH!F27</f>
        <v>7.49</v>
      </c>
      <c r="AA23" s="56">
        <f t="shared" si="2"/>
        <v>0</v>
      </c>
      <c r="AB23" s="56">
        <f>IF(AND('Carga y Reparto'!P42&lt;TTHH!D27,'Carga y Reparto'!P42&lt;&gt;0),TTHH!H27,0)</f>
        <v>0</v>
      </c>
    </row>
    <row r="24" spans="6:33" x14ac:dyDescent="0.3">
      <c r="F24" s="52" t="s">
        <v>542</v>
      </c>
      <c r="G24" s="56">
        <f ca="1">IFERROR(L40,0)</f>
        <v>2.2698827725305146</v>
      </c>
      <c r="T24" s="52" t="s">
        <v>24</v>
      </c>
      <c r="U24" s="56">
        <v>248.53474</v>
      </c>
      <c r="V24" s="52">
        <f>TTHH!G28</f>
        <v>8.9</v>
      </c>
      <c r="W24" s="56">
        <f t="shared" si="1"/>
        <v>2211.959186</v>
      </c>
      <c r="X24" s="52">
        <f>TTHH!E28</f>
        <v>130.6</v>
      </c>
      <c r="Y24" s="56">
        <f t="shared" si="0"/>
        <v>32458.637043999999</v>
      </c>
      <c r="Z24" s="52">
        <f>TTHH!F28</f>
        <v>-14.86</v>
      </c>
      <c r="AA24" s="56">
        <f t="shared" si="2"/>
        <v>-3693.2262363999998</v>
      </c>
      <c r="AB24" s="56">
        <f>IF(AND('Carga y Reparto'!P43&lt;TTHH!D28,'Carga y Reparto'!P43&lt;&gt;0),TTHH!H28,0)</f>
        <v>90</v>
      </c>
    </row>
    <row r="25" spans="6:33" x14ac:dyDescent="0.3">
      <c r="F25" s="52" t="s">
        <v>543</v>
      </c>
      <c r="G25" s="56" cm="1">
        <f t="array" aca="1" ref="G25" ca="1">IFERROR(INDEX(G36:P36,,MATCH(MAX(G40:P40),G40:P40,0)),0)</f>
        <v>50</v>
      </c>
      <c r="T25" s="52" t="s">
        <v>32</v>
      </c>
      <c r="U25" s="56">
        <v>0</v>
      </c>
      <c r="V25" s="52">
        <f>TTHH!G29</f>
        <v>8.9</v>
      </c>
      <c r="W25" s="56">
        <f t="shared" si="1"/>
        <v>0</v>
      </c>
      <c r="X25" s="52">
        <f>TTHH!E29</f>
        <v>130.6</v>
      </c>
      <c r="Y25" s="56">
        <f t="shared" si="0"/>
        <v>0</v>
      </c>
      <c r="Z25" s="52">
        <f>TTHH!F29</f>
        <v>14.86</v>
      </c>
      <c r="AA25" s="56">
        <f t="shared" si="2"/>
        <v>0</v>
      </c>
      <c r="AB25" s="56">
        <f>IF(AND('Carga y Reparto'!P44&lt;TTHH!D29,'Carga y Reparto'!P44&lt;&gt;0),TTHH!H29,0)</f>
        <v>0</v>
      </c>
    </row>
    <row r="26" spans="6:33" x14ac:dyDescent="0.3">
      <c r="F26" s="52" t="s">
        <v>544</v>
      </c>
      <c r="G26" s="56" cm="1">
        <f t="array" aca="1" ref="G26:G28" ca="1">IFERROR(G54:G56,0)</f>
        <v>0.51661699545039341</v>
      </c>
      <c r="T26" s="52" t="s">
        <v>33</v>
      </c>
      <c r="U26" s="56">
        <v>0</v>
      </c>
      <c r="V26" s="52">
        <f>TTHH!G30</f>
        <v>1.24</v>
      </c>
      <c r="W26" s="56">
        <f t="shared" si="1"/>
        <v>0</v>
      </c>
      <c r="X26" s="52">
        <f>TTHH!E30</f>
        <v>104.11</v>
      </c>
      <c r="Y26" s="56">
        <f t="shared" si="0"/>
        <v>0</v>
      </c>
      <c r="Z26" s="52">
        <f>TTHH!F30</f>
        <v>-7.49</v>
      </c>
      <c r="AA26" s="56">
        <f t="shared" si="2"/>
        <v>0</v>
      </c>
      <c r="AB26" s="56">
        <f>IF(AND('Carga y Reparto'!P45&lt;TTHH!D30,'Carga y Reparto'!P45&lt;&gt;0),TTHH!H30,0)</f>
        <v>0</v>
      </c>
    </row>
    <row r="27" spans="6:33" x14ac:dyDescent="0.3">
      <c r="F27" s="52" t="s">
        <v>545</v>
      </c>
      <c r="G27" s="56">
        <f ca="1"/>
        <v>0.34227615992610183</v>
      </c>
      <c r="T27" s="52" t="s">
        <v>34</v>
      </c>
      <c r="U27" s="56">
        <v>0</v>
      </c>
      <c r="V27" s="52">
        <f>TTHH!G31</f>
        <v>1.24</v>
      </c>
      <c r="W27" s="56">
        <f t="shared" si="1"/>
        <v>0</v>
      </c>
      <c r="X27" s="52">
        <f>TTHH!E31</f>
        <v>104.11</v>
      </c>
      <c r="Y27" s="56">
        <f t="shared" si="0"/>
        <v>0</v>
      </c>
      <c r="Z27" s="52">
        <f>TTHH!F31</f>
        <v>7.49</v>
      </c>
      <c r="AA27" s="56">
        <f t="shared" si="2"/>
        <v>0</v>
      </c>
      <c r="AB27" s="56">
        <f>IF(AND('Carga y Reparto'!P46&lt;TTHH!D31,'Carga y Reparto'!P46&lt;&gt;0),TTHH!H31,0)</f>
        <v>0</v>
      </c>
    </row>
    <row r="28" spans="6:33" x14ac:dyDescent="0.3">
      <c r="F28" s="52" t="s">
        <v>546</v>
      </c>
      <c r="G28" s="56">
        <f ca="1"/>
        <v>0.59478030194260401</v>
      </c>
      <c r="T28" s="52" t="s">
        <v>35</v>
      </c>
      <c r="U28" s="56">
        <v>0</v>
      </c>
      <c r="V28" s="52">
        <f>TTHH!G32</f>
        <v>8.89</v>
      </c>
      <c r="W28" s="56">
        <f t="shared" si="1"/>
        <v>0</v>
      </c>
      <c r="X28" s="52">
        <f>TTHH!E32</f>
        <v>101.82</v>
      </c>
      <c r="Y28" s="56">
        <f t="shared" si="0"/>
        <v>0</v>
      </c>
      <c r="Z28" s="52">
        <f>TTHH!F32</f>
        <v>-14.86</v>
      </c>
      <c r="AA28" s="56">
        <f t="shared" si="2"/>
        <v>0</v>
      </c>
      <c r="AB28" s="56">
        <f>IF(AND('Carga y Reparto'!P47&lt;TTHH!D32,'Carga y Reparto'!P47&lt;&gt;0),TTHH!H32,0)</f>
        <v>0</v>
      </c>
    </row>
    <row r="29" spans="6:33" x14ac:dyDescent="0.3">
      <c r="T29" s="52" t="s">
        <v>36</v>
      </c>
      <c r="U29" s="56">
        <v>0</v>
      </c>
      <c r="V29" s="52">
        <f>TTHH!G33</f>
        <v>8.89</v>
      </c>
      <c r="W29" s="56">
        <f t="shared" si="1"/>
        <v>0</v>
      </c>
      <c r="X29" s="52">
        <f>TTHH!E33</f>
        <v>101.82</v>
      </c>
      <c r="Y29" s="56">
        <f t="shared" si="0"/>
        <v>0</v>
      </c>
      <c r="Z29" s="52">
        <f>TTHH!F33</f>
        <v>14.86</v>
      </c>
      <c r="AA29" s="56">
        <f t="shared" si="2"/>
        <v>0</v>
      </c>
      <c r="AB29" s="56">
        <f>IF(AND('Carga y Reparto'!P48&lt;TTHH!D33,'Carga y Reparto'!P48&lt;&gt;0),TTHH!H33,0)</f>
        <v>0</v>
      </c>
    </row>
    <row r="30" spans="6:33" x14ac:dyDescent="0.3">
      <c r="T30" s="52" t="s">
        <v>37</v>
      </c>
      <c r="U30" s="56">
        <v>0</v>
      </c>
      <c r="V30" s="52">
        <f>TTHH!G34</f>
        <v>1.24</v>
      </c>
      <c r="W30" s="56">
        <f t="shared" si="1"/>
        <v>0</v>
      </c>
      <c r="X30" s="52">
        <f>TTHH!E34</f>
        <v>75.31</v>
      </c>
      <c r="Y30" s="56">
        <f t="shared" si="0"/>
        <v>0</v>
      </c>
      <c r="Z30" s="52">
        <f>TTHH!F34</f>
        <v>-7.49</v>
      </c>
      <c r="AA30" s="56">
        <f t="shared" si="2"/>
        <v>0</v>
      </c>
      <c r="AB30" s="56">
        <f>IF(AND('Carga y Reparto'!P49&lt;TTHH!D34,'Carga y Reparto'!P49&lt;&gt;0),TTHH!H34,0)</f>
        <v>0</v>
      </c>
    </row>
    <row r="31" spans="6:33" x14ac:dyDescent="0.3">
      <c r="T31" s="52" t="s">
        <v>38</v>
      </c>
      <c r="U31" s="56">
        <v>0</v>
      </c>
      <c r="V31" s="52">
        <f>TTHH!G35</f>
        <v>1.24</v>
      </c>
      <c r="W31" s="56">
        <f t="shared" si="1"/>
        <v>0</v>
      </c>
      <c r="X31" s="52">
        <f>TTHH!E35</f>
        <v>75.31</v>
      </c>
      <c r="Y31" s="56">
        <f t="shared" si="0"/>
        <v>0</v>
      </c>
      <c r="Z31" s="52">
        <f>TTHH!F35</f>
        <v>7.49</v>
      </c>
      <c r="AA31" s="56">
        <f t="shared" si="2"/>
        <v>0</v>
      </c>
      <c r="AB31" s="56">
        <f>IF(AND('Carga y Reparto'!P50&lt;TTHH!D35,'Carga y Reparto'!P50&lt;&gt;0),TTHH!H35,0)</f>
        <v>0</v>
      </c>
    </row>
    <row r="32" spans="6:33" x14ac:dyDescent="0.3">
      <c r="T32" s="52" t="s">
        <v>39</v>
      </c>
      <c r="U32" s="56">
        <v>0</v>
      </c>
      <c r="V32" s="52">
        <f>TTHH!G36</f>
        <v>8.98</v>
      </c>
      <c r="W32" s="56">
        <f t="shared" si="1"/>
        <v>0</v>
      </c>
      <c r="X32" s="52">
        <f>TTHH!E36</f>
        <v>73.13</v>
      </c>
      <c r="Y32" s="56">
        <f t="shared" si="0"/>
        <v>0</v>
      </c>
      <c r="Z32" s="52">
        <f>TTHH!F36</f>
        <v>-14.85</v>
      </c>
      <c r="AA32" s="56">
        <f t="shared" si="2"/>
        <v>0</v>
      </c>
      <c r="AB32" s="56">
        <f>IF(AND('Carga y Reparto'!P51&lt;TTHH!D36,'Carga y Reparto'!P51&lt;&gt;0),TTHH!H36,0)</f>
        <v>0</v>
      </c>
    </row>
    <row r="33" spans="6:28" x14ac:dyDescent="0.3">
      <c r="T33" s="52" t="s">
        <v>40</v>
      </c>
      <c r="U33" s="56">
        <v>0</v>
      </c>
      <c r="V33" s="52">
        <f>TTHH!G37</f>
        <v>8.98</v>
      </c>
      <c r="W33" s="56">
        <f t="shared" si="1"/>
        <v>0</v>
      </c>
      <c r="X33" s="52">
        <f>TTHH!E37</f>
        <v>73.13</v>
      </c>
      <c r="Y33" s="56">
        <f t="shared" si="0"/>
        <v>0</v>
      </c>
      <c r="Z33" s="52">
        <f>TTHH!F37</f>
        <v>14.85</v>
      </c>
      <c r="AA33" s="56">
        <f t="shared" si="2"/>
        <v>0</v>
      </c>
      <c r="AB33" s="56">
        <f>IF(AND('Carga y Reparto'!P52&lt;TTHH!D37,'Carga y Reparto'!P52&lt;&gt;0),TTHH!H37,0)</f>
        <v>0</v>
      </c>
    </row>
    <row r="34" spans="6:28" x14ac:dyDescent="0.3">
      <c r="T34" s="52" t="s">
        <v>41</v>
      </c>
      <c r="U34" s="56">
        <v>0</v>
      </c>
      <c r="V34" s="52">
        <f>TTHH!G38</f>
        <v>1.38</v>
      </c>
      <c r="W34" s="56">
        <f t="shared" si="1"/>
        <v>0</v>
      </c>
      <c r="X34" s="52">
        <f>TTHH!E38</f>
        <v>49.43</v>
      </c>
      <c r="Y34" s="56">
        <f t="shared" si="0"/>
        <v>0</v>
      </c>
      <c r="Z34" s="52">
        <f>TTHH!F38</f>
        <v>-6.38</v>
      </c>
      <c r="AA34" s="56">
        <f t="shared" si="2"/>
        <v>0</v>
      </c>
      <c r="AB34" s="56">
        <f>IF(AND('Carga y Reparto'!P53&lt;TTHH!D38,'Carga y Reparto'!P53&lt;&gt;0),TTHH!H38,0)</f>
        <v>0</v>
      </c>
    </row>
    <row r="35" spans="6:28" x14ac:dyDescent="0.3">
      <c r="T35" s="52" t="s">
        <v>42</v>
      </c>
      <c r="U35" s="56">
        <v>0</v>
      </c>
      <c r="V35" s="52">
        <f>TTHH!G39</f>
        <v>1.38</v>
      </c>
      <c r="W35" s="56">
        <f t="shared" si="1"/>
        <v>0</v>
      </c>
      <c r="X35" s="52">
        <f>TTHH!E39</f>
        <v>49.43</v>
      </c>
      <c r="Y35" s="56">
        <f t="shared" si="0"/>
        <v>0</v>
      </c>
      <c r="Z35" s="52">
        <f>TTHH!F39</f>
        <v>6.38</v>
      </c>
      <c r="AA35" s="56">
        <f t="shared" si="2"/>
        <v>0</v>
      </c>
      <c r="AB35" s="56">
        <f>IF(AND('Carga y Reparto'!P54&lt;TTHH!D39,'Carga y Reparto'!P54&lt;&gt;0),TTHH!H39,0)</f>
        <v>0</v>
      </c>
    </row>
    <row r="36" spans="6:28" x14ac:dyDescent="0.3">
      <c r="F36" s="29" t="s">
        <v>547</v>
      </c>
      <c r="G36" s="29">
        <v>0</v>
      </c>
      <c r="H36" s="29">
        <v>5</v>
      </c>
      <c r="I36" s="29">
        <v>10</v>
      </c>
      <c r="J36" s="29">
        <v>12</v>
      </c>
      <c r="K36" s="29">
        <v>20</v>
      </c>
      <c r="L36" s="29">
        <v>30</v>
      </c>
      <c r="M36" s="29">
        <v>40</v>
      </c>
      <c r="N36" s="29">
        <v>50</v>
      </c>
      <c r="O36" s="29">
        <v>60</v>
      </c>
      <c r="P36" s="29">
        <v>75</v>
      </c>
      <c r="T36" s="52" t="s">
        <v>43</v>
      </c>
      <c r="U36" s="56">
        <v>0</v>
      </c>
      <c r="V36" s="52">
        <f>TTHH!G40</f>
        <v>5.76</v>
      </c>
      <c r="W36" s="56">
        <f t="shared" si="1"/>
        <v>0</v>
      </c>
      <c r="X36" s="52">
        <f>TTHH!E40</f>
        <v>41</v>
      </c>
      <c r="Y36" s="56">
        <f t="shared" si="0"/>
        <v>0</v>
      </c>
      <c r="Z36" s="52">
        <f>TTHH!F40</f>
        <v>-12.97</v>
      </c>
      <c r="AA36" s="56">
        <f t="shared" si="2"/>
        <v>0</v>
      </c>
      <c r="AB36" s="56">
        <f>IF(AND('Carga y Reparto'!P55&lt;TTHH!D40,'Carga y Reparto'!P55&lt;&gt;0),TTHH!H40,0)</f>
        <v>0</v>
      </c>
    </row>
    <row r="37" spans="6:28" x14ac:dyDescent="0.3">
      <c r="F37" s="29" t="s">
        <v>390</v>
      </c>
      <c r="G37" s="32">
        <v>0</v>
      </c>
      <c r="H37" s="32">
        <f ca="1">IFERROR(FORECAST(M18, OFFSET(TTHH!CM10, MATCH(M18,Tabla4[[#All],[Columna1]],1)-1, 0, 2), OFFSET(TTHH!CL10, MATCH(M18,Tabla4[[#All],[Columna1]],1)-1, 0, 2)),"")</f>
        <v>1.2068404973357016</v>
      </c>
      <c r="I37" s="32">
        <f ca="1">IFERROR(FORECAST(M18, OFFSET(TTHH!CN10, MATCH(M18,Tabla4[[#All],[Columna1]],1)-1, 0, 2), OFFSET(TTHH!CL10, MATCH(M18,Tabla4[[#All],[Columna1]],1)-1, 0, 2)),"")</f>
        <v>2.4246809946714034</v>
      </c>
      <c r="J37" s="32">
        <f ca="1">IFERROR(FORECAST(M18, OFFSET(TTHH!CO10, MATCH(M18,Tabla4[[#All],[Columna1]],1)-1, 0, 2), OFFSET(TTHH!CL10, MATCH(M18,Tabla4[[#All],[Columna1]],1)-1, 0, 2)),"")</f>
        <v>2.9146809946714036</v>
      </c>
      <c r="K37" s="32">
        <f ca="1">IFERROR(FORECAST($M$18, OFFSET(TTHH!CP10, MATCH($M$18,Tabla4[[#All],[Columna1]],1)-1, 0, 2), OFFSET(TTHH!$CL$10, MATCH($M$18,Tabla4[[#All],[Columna1]],1)-1, 0, 2)),"")</f>
        <v>4.9093619893428073</v>
      </c>
      <c r="L37" s="32">
        <f ca="1">IFERROR(FORECAST($M$18, OFFSET(TTHH!CQ10, MATCH($M$18,Tabla4[[#All],[Columna1]],1)-1, 0, 2), OFFSET(TTHH!$CL$10, MATCH($M$18,Tabla4[[#All],[Columna1]],1)-1, 0, 2)),"")</f>
        <v>7.3506074600355227</v>
      </c>
      <c r="M37" s="32">
        <f ca="1">IFERROR(FORECAST($M$18, OFFSET(TTHH!CR10, MATCH($M$18,Tabla4[[#All],[Columna1]],1)-1, 0, 2), OFFSET(TTHH!$CL$10, MATCH($M$18,Tabla4[[#All],[Columna1]],1)-1, 0, 2)),"")</f>
        <v>9.2186872113676728</v>
      </c>
      <c r="N37" s="32">
        <f ca="1">IFERROR(FORECAST($M$18, OFFSET(TTHH!CS10, MATCH($M$18,Tabla4[[#All],[Columna1]],1)-1, 0, 2), OFFSET(TTHH!$CL$10, MATCH($M$18,Tabla4[[#All],[Columna1]],1)-1, 0, 2)),"")</f>
        <v>10.480926465364121</v>
      </c>
      <c r="O37" s="32">
        <f ca="1">IFERROR(FORECAST($M$18, OFFSET(TTHH!CT10, MATCH($M$18,Tabla4[[#All],[Columna1]],1)-1, 0, 2), OFFSET(TTHH!$CL$10, MATCH($M$18,Tabla4[[#All],[Columna1]],1)-1, 0, 2)),"")</f>
        <v>11.095165719360569</v>
      </c>
      <c r="P37" s="32">
        <f ca="1">IFERROR(FORECAST($M$18, OFFSET(TTHH!CU10, MATCH($M$18,Tabla4[[#All],[Columna1]],1)-1, 0, 2), OFFSET(TTHH!$CL$10, MATCH($M$18,Tabla4[[#All],[Columna1]],1)-1, 0, 2)),"")</f>
        <v>11.103963232682061</v>
      </c>
      <c r="T37" s="52" t="s">
        <v>44</v>
      </c>
      <c r="U37" s="56">
        <v>0</v>
      </c>
      <c r="V37" s="52">
        <f>TTHH!G41</f>
        <v>5.76</v>
      </c>
      <c r="W37" s="56">
        <f t="shared" si="1"/>
        <v>0</v>
      </c>
      <c r="X37" s="52">
        <f>TTHH!E41</f>
        <v>41</v>
      </c>
      <c r="Y37" s="56">
        <f t="shared" si="0"/>
        <v>0</v>
      </c>
      <c r="Z37" s="52">
        <f>TTHH!F41</f>
        <v>12.97</v>
      </c>
      <c r="AA37" s="56">
        <f t="shared" si="2"/>
        <v>0</v>
      </c>
      <c r="AB37" s="56">
        <f>IF(AND('Carga y Reparto'!P56&lt;TTHH!D41,'Carga y Reparto'!P56&lt;&gt;0),TTHH!H41,0)</f>
        <v>0</v>
      </c>
    </row>
    <row r="38" spans="6:28" x14ac:dyDescent="0.3">
      <c r="F38" s="29" t="s">
        <v>548</v>
      </c>
      <c r="G38" s="32">
        <f ca="1">$G$12*SIN(RADIANS(G36))</f>
        <v>0</v>
      </c>
      <c r="H38" s="32">
        <f ca="1">$G$12*SIN(RADIANS(H36))</f>
        <v>0.88561863199398172</v>
      </c>
      <c r="I38" s="32">
        <f t="shared" ref="I38:P38" ca="1" si="3">$G$12*SIN(RADIANS(I36))</f>
        <v>1.7644971714473385</v>
      </c>
      <c r="J38" s="32">
        <f t="shared" ca="1" si="3"/>
        <v>2.1126601804162495</v>
      </c>
      <c r="K38" s="32">
        <f t="shared" ca="1" si="3"/>
        <v>3.4753809892189009</v>
      </c>
      <c r="L38" s="32">
        <f t="shared" ca="1" si="3"/>
        <v>5.0806671142606818</v>
      </c>
      <c r="M38" s="32">
        <f t="shared" ca="1" si="3"/>
        <v>6.5315797399772633</v>
      </c>
      <c r="N38" s="32">
        <f t="shared" ca="1" si="3"/>
        <v>7.7840336204334593</v>
      </c>
      <c r="O38" s="32">
        <f t="shared" ca="1" si="3"/>
        <v>8.7999735782438524</v>
      </c>
      <c r="P38" s="32">
        <f t="shared" ca="1" si="3"/>
        <v>9.8150951608838923</v>
      </c>
      <c r="T38" s="52" t="s">
        <v>30</v>
      </c>
      <c r="U38" s="56">
        <v>0</v>
      </c>
      <c r="V38" s="52">
        <f>TTHH!G42</f>
        <v>15.71</v>
      </c>
      <c r="W38" s="56">
        <f t="shared" si="1"/>
        <v>0</v>
      </c>
      <c r="X38" s="52">
        <f>TTHH!E42</f>
        <v>42.71</v>
      </c>
      <c r="Y38" s="56">
        <f t="shared" si="0"/>
        <v>0</v>
      </c>
      <c r="Z38" s="52">
        <f>TTHH!F42</f>
        <v>-14.54</v>
      </c>
      <c r="AA38" s="56">
        <f t="shared" si="2"/>
        <v>0</v>
      </c>
      <c r="AB38" s="56">
        <f>IF(AND('Carga y Reparto'!P57&lt;TTHH!D42,'Carga y Reparto'!P57&lt;&gt;0),TTHH!H42,0)</f>
        <v>0</v>
      </c>
    </row>
    <row r="39" spans="6:28" x14ac:dyDescent="0.3">
      <c r="F39" s="29" t="s">
        <v>551</v>
      </c>
      <c r="G39" s="32">
        <f ca="1">ABS($G$14)*COS(RADIANS(G36))</f>
        <v>6.6479856219461012E-5</v>
      </c>
      <c r="H39" s="32">
        <f t="shared" ref="H39:P39" ca="1" si="4">ABS($G$14)*COS(RADIANS(H36))</f>
        <v>6.6226880295728617E-5</v>
      </c>
      <c r="I39" s="32">
        <f t="shared" ca="1" si="4"/>
        <v>6.5469877824062063E-5</v>
      </c>
      <c r="J39" s="32">
        <f t="shared" ca="1" si="4"/>
        <v>6.5027111858194161E-5</v>
      </c>
      <c r="K39" s="32">
        <f t="shared" ca="1" si="4"/>
        <v>6.2470630320335697E-5</v>
      </c>
      <c r="L39" s="32">
        <f t="shared" ca="1" si="4"/>
        <v>5.757324432599015E-5</v>
      </c>
      <c r="M39" s="32">
        <f t="shared" ca="1" si="4"/>
        <v>5.0926524436266739E-5</v>
      </c>
      <c r="N39" s="32">
        <f t="shared" ca="1" si="4"/>
        <v>4.2732427871612161E-5</v>
      </c>
      <c r="O39" s="32">
        <f t="shared" ca="1" si="4"/>
        <v>3.3239928109730513E-5</v>
      </c>
      <c r="P39" s="32">
        <f t="shared" ca="1" si="4"/>
        <v>1.7206252905273774E-5</v>
      </c>
      <c r="T39" s="52" t="s">
        <v>29</v>
      </c>
      <c r="U39" s="56">
        <v>0</v>
      </c>
      <c r="V39" s="52">
        <f>TTHH!G43</f>
        <v>15.71</v>
      </c>
      <c r="W39" s="56">
        <f t="shared" si="1"/>
        <v>0</v>
      </c>
      <c r="X39" s="52">
        <f>TTHH!E43</f>
        <v>42.71</v>
      </c>
      <c r="Y39" s="56">
        <f t="shared" si="0"/>
        <v>0</v>
      </c>
      <c r="Z39" s="52">
        <f>TTHH!F43</f>
        <v>14.54</v>
      </c>
      <c r="AA39" s="56">
        <f t="shared" si="2"/>
        <v>0</v>
      </c>
      <c r="AB39" s="56">
        <f>IF(AND('Carga y Reparto'!P58&lt;TTHH!D43,'Carga y Reparto'!P58&lt;&gt;0),TTHH!H43,0)</f>
        <v>0</v>
      </c>
    </row>
    <row r="40" spans="6:28" x14ac:dyDescent="0.3">
      <c r="F40" s="29" t="s">
        <v>549</v>
      </c>
      <c r="G40" s="32">
        <f ca="1">G37-G38-G39</f>
        <v>-6.6479856219461012E-5</v>
      </c>
      <c r="H40" s="32">
        <f t="shared" ref="H40:P40" ca="1" si="5">H37-H38-H39</f>
        <v>0.3211556384614242</v>
      </c>
      <c r="I40" s="32">
        <f t="shared" ca="1" si="5"/>
        <v>0.6601183533462408</v>
      </c>
      <c r="J40" s="32">
        <f t="shared" ca="1" si="5"/>
        <v>0.80195578714329596</v>
      </c>
      <c r="K40" s="32">
        <f t="shared" ca="1" si="5"/>
        <v>1.4339185294935861</v>
      </c>
      <c r="L40" s="32">
        <f t="shared" ca="1" si="5"/>
        <v>2.2698827725305146</v>
      </c>
      <c r="M40" s="32">
        <f t="shared" ca="1" si="5"/>
        <v>2.6870565448659733</v>
      </c>
      <c r="N40" s="32">
        <f t="shared" ca="1" si="5"/>
        <v>2.6968501125027897</v>
      </c>
      <c r="O40" s="32">
        <f t="shared" ca="1" si="5"/>
        <v>2.2951589011886071</v>
      </c>
      <c r="P40" s="32">
        <f t="shared" ca="1" si="5"/>
        <v>1.2888508655452628</v>
      </c>
      <c r="T40" s="52" t="s">
        <v>28</v>
      </c>
      <c r="U40" s="56">
        <v>0</v>
      </c>
      <c r="V40" s="52">
        <f>TTHH!G44</f>
        <v>11.53</v>
      </c>
      <c r="W40" s="56">
        <f t="shared" si="1"/>
        <v>0</v>
      </c>
      <c r="X40" s="52">
        <f>TTHH!E44</f>
        <v>2.33</v>
      </c>
      <c r="Y40" s="56">
        <f t="shared" si="0"/>
        <v>0</v>
      </c>
      <c r="Z40" s="52">
        <f>TTHH!F44</f>
        <v>0</v>
      </c>
      <c r="AA40" s="56">
        <f t="shared" si="2"/>
        <v>0</v>
      </c>
      <c r="AB40" s="56">
        <f>IF(AND('Carga y Reparto'!P59&lt;TTHH!D44,'Carga y Reparto'!P59&lt;&gt;0),TTHH!H44,0)</f>
        <v>0</v>
      </c>
    </row>
    <row r="41" spans="6:28" x14ac:dyDescent="0.3">
      <c r="T41" s="52" t="s">
        <v>27</v>
      </c>
      <c r="U41" s="56"/>
      <c r="V41" s="52">
        <f>TTHH!G45</f>
        <v>10.210000000000001</v>
      </c>
      <c r="W41" s="56">
        <f t="shared" si="1"/>
        <v>0</v>
      </c>
      <c r="X41" s="52">
        <f>TTHH!E45</f>
        <v>101.22</v>
      </c>
      <c r="Y41" s="56">
        <f t="shared" si="0"/>
        <v>0</v>
      </c>
      <c r="Z41" s="52">
        <f>TTHH!F45</f>
        <v>0</v>
      </c>
      <c r="AA41" s="56">
        <f t="shared" si="2"/>
        <v>0</v>
      </c>
      <c r="AB41" s="56">
        <f>IF(AND('Carga y Reparto'!P60&lt;TTHH!D45,'Carga y Reparto'!P60&lt;&gt;0),TTHH!H45,0)</f>
        <v>0</v>
      </c>
    </row>
    <row r="42" spans="6:28" x14ac:dyDescent="0.3">
      <c r="F42" s="29" t="s">
        <v>547</v>
      </c>
      <c r="G42" s="29" t="s">
        <v>549</v>
      </c>
      <c r="H42" s="29" t="s">
        <v>552</v>
      </c>
      <c r="I42" s="29" t="s">
        <v>553</v>
      </c>
      <c r="T42" s="54" t="s">
        <v>46</v>
      </c>
      <c r="U42" s="38"/>
      <c r="V42" s="38"/>
      <c r="W42" s="38"/>
      <c r="X42" s="38"/>
      <c r="Y42" s="38"/>
      <c r="Z42" s="38"/>
      <c r="AA42" s="38"/>
      <c r="AB42" s="38"/>
    </row>
    <row r="43" spans="6:28" x14ac:dyDescent="0.3">
      <c r="F43" s="29">
        <v>0</v>
      </c>
      <c r="G43" s="32">
        <f ca="1">LOOKUP(F43,$G$36:$P$36,$G$40:$P$40)</f>
        <v>-6.6479856219461012E-5</v>
      </c>
      <c r="H43" s="30">
        <v>1</v>
      </c>
      <c r="I43" s="32">
        <f ca="1">G43*H43</f>
        <v>-6.6479856219461012E-5</v>
      </c>
      <c r="T43" s="52" t="s">
        <v>47</v>
      </c>
      <c r="U43" s="56" cm="1">
        <f t="array" ref="U43:U51">'Carga y Reparto'!O17:O25</f>
        <v>0</v>
      </c>
      <c r="V43" s="52" cm="1">
        <f t="array" ref="V43:V51">Tabla18[[#All],[Columna5]]</f>
        <v>12.56</v>
      </c>
      <c r="W43" s="56">
        <f t="shared" ref="W43:W51" si="6">U43*V43</f>
        <v>0</v>
      </c>
      <c r="X43" s="52" cm="1">
        <f t="array" ref="X43:X51">Tabla18[[#All],[Columna3]]</f>
        <v>23.89</v>
      </c>
      <c r="Y43" s="56">
        <f t="shared" ref="Y43:Y51" si="7">U43*X43</f>
        <v>0</v>
      </c>
      <c r="Z43" s="52" cm="1">
        <f t="array" ref="Z43:Z51">Tabla18[[#All],[Columna4]]</f>
        <v>-9.91</v>
      </c>
      <c r="AA43" s="56">
        <f t="shared" ref="AA43:AA51" si="8">U43*Z43</f>
        <v>0</v>
      </c>
      <c r="AB43" s="56">
        <f>IF(AND('Carga y Reparto'!P17&lt;TTHH!D53,'Carga y Reparto'!P17&lt;&gt;0),TTHH!H53,0)</f>
        <v>0</v>
      </c>
    </row>
    <row r="44" spans="6:28" x14ac:dyDescent="0.3">
      <c r="F44" s="29">
        <v>5</v>
      </c>
      <c r="G44" s="32">
        <f t="shared" ref="G44:G52" ca="1" si="9">LOOKUP(F44,$G$36:$P$36,$G$40:$P$40)</f>
        <v>0.3211556384614242</v>
      </c>
      <c r="H44" s="30">
        <v>4</v>
      </c>
      <c r="I44" s="32">
        <f t="shared" ref="I44:I52" ca="1" si="10">G44*H44</f>
        <v>1.2846225538456968</v>
      </c>
      <c r="T44" s="52" t="s">
        <v>48</v>
      </c>
      <c r="U44" s="56">
        <v>0</v>
      </c>
      <c r="V44" s="52">
        <v>12.31</v>
      </c>
      <c r="W44" s="56">
        <f t="shared" si="6"/>
        <v>0</v>
      </c>
      <c r="X44" s="52">
        <v>24.07</v>
      </c>
      <c r="Y44" s="56">
        <f t="shared" si="7"/>
        <v>0</v>
      </c>
      <c r="Z44" s="52">
        <v>10.62</v>
      </c>
      <c r="AA44" s="56">
        <f t="shared" si="8"/>
        <v>0</v>
      </c>
      <c r="AB44" s="56">
        <f>IF(AND('Carga y Reparto'!P18&lt;TTHH!D54,'Carga y Reparto'!P18&lt;&gt;0),TTHH!H54,0)</f>
        <v>0</v>
      </c>
    </row>
    <row r="45" spans="6:28" x14ac:dyDescent="0.3">
      <c r="F45" s="29">
        <v>10</v>
      </c>
      <c r="G45" s="32">
        <f t="shared" ca="1" si="9"/>
        <v>0.6601183533462408</v>
      </c>
      <c r="H45" s="30">
        <v>2</v>
      </c>
      <c r="I45" s="32">
        <f t="shared" ca="1" si="10"/>
        <v>1.3202367066924816</v>
      </c>
      <c r="T45" s="52" t="s">
        <v>49</v>
      </c>
      <c r="U45" s="56">
        <v>354.57799999999997</v>
      </c>
      <c r="V45" s="52">
        <v>12.38</v>
      </c>
      <c r="W45" s="56">
        <f t="shared" si="6"/>
        <v>4389.6756400000004</v>
      </c>
      <c r="X45" s="52">
        <v>17.920000000000002</v>
      </c>
      <c r="Y45" s="56">
        <f t="shared" si="7"/>
        <v>6354.0377600000002</v>
      </c>
      <c r="Z45" s="52">
        <v>-9.4600000000000009</v>
      </c>
      <c r="AA45" s="56">
        <f t="shared" si="8"/>
        <v>-3354.3078799999998</v>
      </c>
      <c r="AB45" s="56">
        <f>IF(AND('Carga y Reparto'!P19&lt;TTHH!D55,'Carga y Reparto'!P19&lt;&gt;0),TTHH!H55,0)</f>
        <v>592</v>
      </c>
    </row>
    <row r="46" spans="6:28" x14ac:dyDescent="0.3">
      <c r="F46" s="29">
        <v>12</v>
      </c>
      <c r="G46" s="32">
        <f t="shared" ca="1" si="9"/>
        <v>0.80195578714329596</v>
      </c>
      <c r="H46" s="30">
        <v>4</v>
      </c>
      <c r="I46" s="32">
        <f t="shared" ca="1" si="10"/>
        <v>3.2078231485731838</v>
      </c>
      <c r="T46" s="52" t="s">
        <v>50</v>
      </c>
      <c r="U46" s="56">
        <v>450.48999999999995</v>
      </c>
      <c r="V46" s="52">
        <v>12.39</v>
      </c>
      <c r="W46" s="56">
        <f t="shared" si="6"/>
        <v>5581.5711000000001</v>
      </c>
      <c r="X46" s="52">
        <v>17.47</v>
      </c>
      <c r="Y46" s="56">
        <f t="shared" si="7"/>
        <v>7870.0602999999983</v>
      </c>
      <c r="Z46" s="52">
        <v>9.93</v>
      </c>
      <c r="AA46" s="56">
        <f t="shared" si="8"/>
        <v>4473.3656999999994</v>
      </c>
      <c r="AB46" s="56">
        <f>IF(AND('Carga y Reparto'!P20&lt;TTHH!D56,'Carga y Reparto'!P20&lt;&gt;0),TTHH!H56,0)</f>
        <v>0</v>
      </c>
    </row>
    <row r="47" spans="6:28" x14ac:dyDescent="0.3">
      <c r="F47" s="29">
        <v>20</v>
      </c>
      <c r="G47" s="32">
        <f t="shared" ca="1" si="9"/>
        <v>1.4339185294935861</v>
      </c>
      <c r="H47" s="30">
        <v>2</v>
      </c>
      <c r="I47" s="32">
        <f t="shared" ca="1" si="10"/>
        <v>2.8678370589871722</v>
      </c>
      <c r="T47" s="52" t="s">
        <v>51</v>
      </c>
      <c r="U47" s="56">
        <v>42.94</v>
      </c>
      <c r="V47" s="52">
        <v>13.5</v>
      </c>
      <c r="W47" s="56">
        <f t="shared" si="6"/>
        <v>579.68999999999994</v>
      </c>
      <c r="X47" s="52">
        <v>22.4</v>
      </c>
      <c r="Y47" s="56">
        <f t="shared" si="7"/>
        <v>961.85599999999988</v>
      </c>
      <c r="Z47" s="52">
        <v>7.19</v>
      </c>
      <c r="AA47" s="56">
        <f t="shared" si="8"/>
        <v>308.73860000000002</v>
      </c>
      <c r="AB47" s="56">
        <f>IF(AND('Carga y Reparto'!P21&lt;TTHH!D57,'Carga y Reparto'!P21&lt;&gt;0),TTHH!H57,0)</f>
        <v>0</v>
      </c>
    </row>
    <row r="48" spans="6:28" x14ac:dyDescent="0.3">
      <c r="F48" s="29">
        <v>30</v>
      </c>
      <c r="G48" s="32">
        <f t="shared" ca="1" si="9"/>
        <v>2.2698827725305146</v>
      </c>
      <c r="H48" s="30">
        <v>4</v>
      </c>
      <c r="I48" s="32">
        <f t="shared" ca="1" si="10"/>
        <v>9.0795310901220585</v>
      </c>
      <c r="T48" s="52" t="s">
        <v>52</v>
      </c>
      <c r="U48" s="56">
        <v>0</v>
      </c>
      <c r="V48" s="52">
        <v>13.5</v>
      </c>
      <c r="W48" s="56">
        <f t="shared" si="6"/>
        <v>0</v>
      </c>
      <c r="X48" s="52">
        <v>20.8</v>
      </c>
      <c r="Y48" s="56">
        <f t="shared" si="7"/>
        <v>0</v>
      </c>
      <c r="Z48" s="52">
        <v>7.19</v>
      </c>
      <c r="AA48" s="56">
        <f t="shared" si="8"/>
        <v>0</v>
      </c>
      <c r="AB48" s="56">
        <f>IF(AND('Carga y Reparto'!P22&lt;TTHH!D58,'Carga y Reparto'!P22&lt;&gt;0),TTHH!H58,0)</f>
        <v>0</v>
      </c>
    </row>
    <row r="49" spans="6:28" x14ac:dyDescent="0.3">
      <c r="F49" s="29">
        <v>40</v>
      </c>
      <c r="G49" s="32">
        <f t="shared" ca="1" si="9"/>
        <v>2.6870565448659733</v>
      </c>
      <c r="H49" s="30">
        <v>1</v>
      </c>
      <c r="I49" s="32">
        <f t="shared" ca="1" si="10"/>
        <v>2.6870565448659733</v>
      </c>
      <c r="T49" s="52" t="s">
        <v>53</v>
      </c>
      <c r="U49" s="56">
        <v>42.94</v>
      </c>
      <c r="V49" s="52">
        <v>13.5</v>
      </c>
      <c r="W49" s="56">
        <f t="shared" si="6"/>
        <v>579.68999999999994</v>
      </c>
      <c r="X49" s="52">
        <v>24</v>
      </c>
      <c r="Y49" s="56">
        <f t="shared" si="7"/>
        <v>1030.56</v>
      </c>
      <c r="Z49" s="52">
        <v>7.19</v>
      </c>
      <c r="AA49" s="56">
        <f t="shared" si="8"/>
        <v>308.73860000000002</v>
      </c>
      <c r="AB49" s="56">
        <f>IF(AND('Carga y Reparto'!P23&lt;TTHH!D59,'Carga y Reparto'!P23&lt;&gt;0),TTHH!H59,0)</f>
        <v>0</v>
      </c>
    </row>
    <row r="50" spans="6:28" x14ac:dyDescent="0.3">
      <c r="F50" s="29">
        <v>50</v>
      </c>
      <c r="G50" s="32">
        <f t="shared" ca="1" si="9"/>
        <v>2.6968501125027897</v>
      </c>
      <c r="H50" s="30">
        <v>1</v>
      </c>
      <c r="I50" s="32">
        <f t="shared" ca="1" si="10"/>
        <v>2.6968501125027897</v>
      </c>
      <c r="T50" s="52" t="s">
        <v>54</v>
      </c>
      <c r="U50" s="56">
        <v>8.5879999999999992</v>
      </c>
      <c r="V50" s="52">
        <v>13.5</v>
      </c>
      <c r="W50" s="56">
        <f t="shared" si="6"/>
        <v>115.93799999999999</v>
      </c>
      <c r="X50" s="52">
        <v>19.2</v>
      </c>
      <c r="Y50" s="56">
        <f t="shared" si="7"/>
        <v>164.88959999999997</v>
      </c>
      <c r="Z50" s="52">
        <v>7.19</v>
      </c>
      <c r="AA50" s="56">
        <f t="shared" si="8"/>
        <v>61.747720000000001</v>
      </c>
      <c r="AB50" s="56">
        <f>IF(AND('Carga y Reparto'!P24&lt;TTHH!D60,'Carga y Reparto'!P24&lt;&gt;0),TTHH!H60,0)</f>
        <v>4</v>
      </c>
    </row>
    <row r="51" spans="6:28" x14ac:dyDescent="0.3">
      <c r="F51" s="29">
        <v>60</v>
      </c>
      <c r="G51" s="32">
        <f t="shared" ca="1" si="9"/>
        <v>2.2951589011886071</v>
      </c>
      <c r="H51" s="30">
        <v>4</v>
      </c>
      <c r="I51" s="32">
        <f t="shared" ca="1" si="10"/>
        <v>9.1806356047544284</v>
      </c>
      <c r="T51" s="52" t="s">
        <v>55</v>
      </c>
      <c r="U51" s="56">
        <v>4.3890000000000002</v>
      </c>
      <c r="V51" s="52">
        <v>1.31</v>
      </c>
      <c r="W51" s="56">
        <f t="shared" si="6"/>
        <v>5.7495900000000004</v>
      </c>
      <c r="X51" s="52">
        <v>22.69</v>
      </c>
      <c r="Y51" s="56">
        <f t="shared" si="7"/>
        <v>99.586410000000015</v>
      </c>
      <c r="Z51" s="52">
        <v>3.19</v>
      </c>
      <c r="AA51" s="56">
        <f t="shared" si="8"/>
        <v>14.000910000000001</v>
      </c>
      <c r="AB51" s="56">
        <f>IF(AND('Carga y Reparto'!P25&lt;TTHH!D61,'Carga y Reparto'!P25&lt;&gt;0),TTHH!H61,0)</f>
        <v>27</v>
      </c>
    </row>
    <row r="52" spans="6:28" x14ac:dyDescent="0.3">
      <c r="F52" s="29">
        <v>75</v>
      </c>
      <c r="G52" s="32">
        <f t="shared" ca="1" si="9"/>
        <v>1.2888508655452628</v>
      </c>
      <c r="H52" s="30">
        <v>1</v>
      </c>
      <c r="I52" s="32">
        <f t="shared" ca="1" si="10"/>
        <v>1.2888508655452628</v>
      </c>
      <c r="T52" s="54" t="s">
        <v>57</v>
      </c>
      <c r="U52" s="38"/>
      <c r="V52" s="38"/>
      <c r="W52" s="38"/>
      <c r="X52" s="38"/>
      <c r="Y52" s="38"/>
      <c r="Z52" s="38"/>
      <c r="AA52" s="38"/>
      <c r="AB52" s="38"/>
    </row>
    <row r="53" spans="6:28" x14ac:dyDescent="0.3">
      <c r="T53" s="52" t="s">
        <v>58</v>
      </c>
      <c r="U53" s="56" cm="1">
        <f t="array" ref="U53:U56">'Carga y Reparto'!O29:O32</f>
        <v>141.52500000000001</v>
      </c>
      <c r="V53" s="52" cm="1">
        <f t="array" ref="V53:V56">Tabla19[[#All],[Columna5]]</f>
        <v>15.65</v>
      </c>
      <c r="W53" s="56">
        <f>U53*V53</f>
        <v>2214.86625</v>
      </c>
      <c r="X53" s="52" cm="1">
        <f t="array" ref="X53:X56">Tabla19[[#All],[Columna3]]</f>
        <v>14.2</v>
      </c>
      <c r="Y53" s="56">
        <f>U53*X53</f>
        <v>2009.655</v>
      </c>
      <c r="Z53" s="52" cm="1">
        <f t="array" ref="Z53:Z56">Tabla19[[#All],[Columna4]]</f>
        <v>11.76</v>
      </c>
      <c r="AA53" s="56">
        <f>U53*Z53</f>
        <v>1664.3340000000001</v>
      </c>
      <c r="AB53" s="56">
        <f>IF(AND('Carga y Reparto'!P29&lt;TTHH!D69,'Carga y Reparto'!P29&lt;&gt;0),TTHH!H69,0)</f>
        <v>0</v>
      </c>
    </row>
    <row r="54" spans="6:28" x14ac:dyDescent="0.3">
      <c r="F54" s="29" t="s">
        <v>554</v>
      </c>
      <c r="G54" s="32">
        <f ca="1">(0.0872664626/3)*SUM(I43:I48)</f>
        <v>0.51661699545039341</v>
      </c>
      <c r="T54" s="52" t="s">
        <v>59</v>
      </c>
      <c r="U54" s="56">
        <v>12.486499999999999</v>
      </c>
      <c r="V54" s="52">
        <v>15.75</v>
      </c>
      <c r="W54" s="56">
        <f>U54*V54</f>
        <v>196.662375</v>
      </c>
      <c r="X54" s="52">
        <v>15.2</v>
      </c>
      <c r="Y54" s="56">
        <f>U54*X54</f>
        <v>189.79479999999998</v>
      </c>
      <c r="Z54" s="52">
        <v>7.19</v>
      </c>
      <c r="AA54" s="56">
        <f>U54*Z54</f>
        <v>89.777934999999999</v>
      </c>
      <c r="AB54" s="56">
        <f>IF(AND('Carga y Reparto'!P30&lt;TTHH!D70,'Carga y Reparto'!P30&lt;&gt;0),TTHH!H70,0)</f>
        <v>4</v>
      </c>
    </row>
    <row r="55" spans="6:28" x14ac:dyDescent="0.3">
      <c r="F55" s="29" t="s">
        <v>555</v>
      </c>
      <c r="G55" s="32">
        <f ca="1">(0.0872664626/3)*SUM(I48:I49)</f>
        <v>0.34227615992610183</v>
      </c>
      <c r="T55" s="52" t="s">
        <v>60</v>
      </c>
      <c r="U55" s="56">
        <v>19.662000000000003</v>
      </c>
      <c r="V55" s="52">
        <v>15.75</v>
      </c>
      <c r="W55" s="56">
        <f>U55*V55</f>
        <v>309.67650000000003</v>
      </c>
      <c r="X55" s="52">
        <v>12</v>
      </c>
      <c r="Y55" s="56">
        <f>U55*X55</f>
        <v>235.94400000000002</v>
      </c>
      <c r="Z55" s="52">
        <v>7.19</v>
      </c>
      <c r="AA55" s="56">
        <f>U55*Z55</f>
        <v>141.36978000000002</v>
      </c>
      <c r="AB55" s="56">
        <f>IF(AND('Carga y Reparto'!P31&lt;TTHH!D71,'Carga y Reparto'!P31&lt;&gt;0),TTHH!H71,0)</f>
        <v>0</v>
      </c>
    </row>
    <row r="56" spans="6:28" x14ac:dyDescent="0.3">
      <c r="F56" s="29" t="s">
        <v>556</v>
      </c>
      <c r="G56" s="32">
        <f ca="1">(0.0872664626/3)*SUM(I43:I49)</f>
        <v>0.59478030194260401</v>
      </c>
      <c r="T56" s="52" t="s">
        <v>61</v>
      </c>
      <c r="U56" s="56">
        <v>3.4578000000000002</v>
      </c>
      <c r="V56" s="52">
        <v>15.75</v>
      </c>
      <c r="W56" s="56">
        <f>U56*V56</f>
        <v>54.460350000000005</v>
      </c>
      <c r="X56" s="52">
        <v>13.6</v>
      </c>
      <c r="Y56" s="56">
        <f>U56*X56</f>
        <v>47.02608</v>
      </c>
      <c r="Z56" s="52">
        <v>7.19</v>
      </c>
      <c r="AA56" s="56">
        <f>U56*Z56</f>
        <v>24.861582000000002</v>
      </c>
      <c r="AB56" s="56">
        <f>IF(AND('Carga y Reparto'!P32&lt;TTHH!D72,'Carga y Reparto'!P32&lt;&gt;0),TTHH!H72,0)</f>
        <v>4</v>
      </c>
    </row>
    <row r="57" spans="6:28" x14ac:dyDescent="0.3">
      <c r="T57" s="54" t="s">
        <v>63</v>
      </c>
      <c r="U57" s="38"/>
      <c r="V57" s="38"/>
      <c r="W57" s="38"/>
      <c r="X57" s="38"/>
      <c r="Y57" s="38"/>
      <c r="Z57" s="38"/>
      <c r="AA57" s="38"/>
      <c r="AB57" s="38"/>
    </row>
    <row r="58" spans="6:28" x14ac:dyDescent="0.3">
      <c r="T58" s="52" t="s">
        <v>65</v>
      </c>
      <c r="U58" s="56" cm="1">
        <f t="array" ref="U58:U67">'Carga y Reparto'!O63:O72</f>
        <v>17.100000000000001</v>
      </c>
      <c r="V58" s="52" cm="1">
        <f t="array" ref="V58:V67">Tabla20[[#All],[Columna5]]</f>
        <v>11.77</v>
      </c>
      <c r="W58" s="56">
        <f t="shared" ref="W58:W67" si="11">U58*V58</f>
        <v>201.267</v>
      </c>
      <c r="X58" s="52" cm="1">
        <f t="array" ref="X58:X67">Tabla20[[#All],[Columna3]]</f>
        <v>6.81</v>
      </c>
      <c r="Y58" s="56">
        <f t="shared" ref="Y58:Y67" si="12">U58*X58</f>
        <v>116.45100000000001</v>
      </c>
      <c r="Z58" s="52" cm="1">
        <f t="array" ref="Z58:Z67">Tabla20[[#All],[Columna4]]</f>
        <v>8.43</v>
      </c>
      <c r="AA58" s="56">
        <f t="shared" ref="AA58:AA67" si="13">U58*Z58</f>
        <v>144.15300000000002</v>
      </c>
      <c r="AB58" s="56">
        <f>IF(AND('Carga y Reparto'!P63&lt;TTHH!D80,'Carga y Reparto'!P63&lt;&gt;0),TTHH!H80,0)</f>
        <v>0</v>
      </c>
    </row>
    <row r="59" spans="6:28" x14ac:dyDescent="0.3">
      <c r="T59" s="52" t="s">
        <v>66</v>
      </c>
      <c r="U59" s="56">
        <v>16.829999999999998</v>
      </c>
      <c r="V59" s="52">
        <v>11.69</v>
      </c>
      <c r="W59" s="56">
        <f t="shared" si="11"/>
        <v>196.74269999999999</v>
      </c>
      <c r="X59" s="52">
        <v>7.61</v>
      </c>
      <c r="Y59" s="56">
        <f t="shared" si="12"/>
        <v>128.0763</v>
      </c>
      <c r="Z59" s="52">
        <v>8.57</v>
      </c>
      <c r="AA59" s="56">
        <f t="shared" si="13"/>
        <v>144.23309999999998</v>
      </c>
      <c r="AB59" s="56">
        <f>IF(AND('Carga y Reparto'!P64&lt;TTHH!D81,'Carga y Reparto'!P64&lt;&gt;0),TTHH!H81,0)</f>
        <v>0</v>
      </c>
    </row>
    <row r="60" spans="6:28" x14ac:dyDescent="0.3">
      <c r="T60" s="52" t="s">
        <v>67</v>
      </c>
      <c r="U60" s="56">
        <v>18.18</v>
      </c>
      <c r="V60" s="52">
        <v>11.63</v>
      </c>
      <c r="W60" s="56">
        <f t="shared" si="11"/>
        <v>211.43340000000001</v>
      </c>
      <c r="X60" s="52">
        <v>8.4</v>
      </c>
      <c r="Y60" s="56">
        <f t="shared" si="12"/>
        <v>152.71200000000002</v>
      </c>
      <c r="Z60" s="52">
        <v>8.7200000000000006</v>
      </c>
      <c r="AA60" s="56">
        <f t="shared" si="13"/>
        <v>158.52960000000002</v>
      </c>
      <c r="AB60" s="56">
        <f>IF(AND('Carga y Reparto'!P65&lt;TTHH!D82,'Carga y Reparto'!P65&lt;&gt;0),TTHH!H82,0)</f>
        <v>0</v>
      </c>
    </row>
    <row r="61" spans="6:28" x14ac:dyDescent="0.3">
      <c r="T61" s="52" t="s">
        <v>68</v>
      </c>
      <c r="U61" s="56">
        <v>39.96</v>
      </c>
      <c r="V61" s="52">
        <v>11.56</v>
      </c>
      <c r="W61" s="56">
        <f t="shared" si="11"/>
        <v>461.93760000000003</v>
      </c>
      <c r="X61" s="52">
        <v>9.6199999999999992</v>
      </c>
      <c r="Y61" s="56">
        <f t="shared" si="12"/>
        <v>384.41519999999997</v>
      </c>
      <c r="Z61" s="52">
        <v>8.94</v>
      </c>
      <c r="AA61" s="56">
        <f t="shared" si="13"/>
        <v>357.24239999999998</v>
      </c>
      <c r="AB61" s="56">
        <f>IF(AND('Carga y Reparto'!P66&lt;TTHH!D83,'Carga y Reparto'!P66&lt;&gt;0),TTHH!H83,0)</f>
        <v>0</v>
      </c>
    </row>
    <row r="62" spans="6:28" x14ac:dyDescent="0.3">
      <c r="T62" s="52" t="s">
        <v>69</v>
      </c>
      <c r="U62" s="56">
        <v>0</v>
      </c>
      <c r="V62" s="52">
        <v>1.31</v>
      </c>
      <c r="W62" s="56">
        <f t="shared" si="11"/>
        <v>0</v>
      </c>
      <c r="X62" s="52">
        <v>18</v>
      </c>
      <c r="Y62" s="56">
        <f t="shared" si="12"/>
        <v>0</v>
      </c>
      <c r="Z62" s="52">
        <v>0</v>
      </c>
      <c r="AA62" s="56">
        <f t="shared" si="13"/>
        <v>0</v>
      </c>
      <c r="AB62" s="56">
        <f>IF(AND('Carga y Reparto'!P67&lt;TTHH!D84,'Carga y Reparto'!P67&lt;&gt;0),TTHH!H84,0)</f>
        <v>0</v>
      </c>
    </row>
    <row r="63" spans="6:28" x14ac:dyDescent="0.3">
      <c r="T63" s="52" t="s">
        <v>70</v>
      </c>
      <c r="U63" s="56">
        <v>0</v>
      </c>
      <c r="V63" s="52">
        <v>15.65</v>
      </c>
      <c r="W63" s="56">
        <f t="shared" si="11"/>
        <v>0</v>
      </c>
      <c r="X63" s="52">
        <v>2</v>
      </c>
      <c r="Y63" s="56">
        <f t="shared" si="12"/>
        <v>0</v>
      </c>
      <c r="Z63" s="52">
        <v>3.2</v>
      </c>
      <c r="AA63" s="56">
        <f t="shared" si="13"/>
        <v>0</v>
      </c>
      <c r="AB63" s="56">
        <f>IF(AND('Carga y Reparto'!P68&lt;TTHH!D85,'Carga y Reparto'!P68&lt;&gt;0),TTHH!H85,0)</f>
        <v>0</v>
      </c>
    </row>
    <row r="64" spans="6:28" x14ac:dyDescent="0.3">
      <c r="T64" s="52" t="s">
        <v>71</v>
      </c>
      <c r="U64" s="56">
        <v>0</v>
      </c>
      <c r="V64" s="52">
        <v>15.65</v>
      </c>
      <c r="W64" s="56">
        <f t="shared" si="11"/>
        <v>0</v>
      </c>
      <c r="X64" s="52">
        <v>2</v>
      </c>
      <c r="Y64" s="56">
        <f t="shared" si="12"/>
        <v>0</v>
      </c>
      <c r="Z64" s="52">
        <v>4.8</v>
      </c>
      <c r="AA64" s="56">
        <f t="shared" si="13"/>
        <v>0</v>
      </c>
      <c r="AB64" s="56">
        <f>IF(AND('Carga y Reparto'!P69&lt;TTHH!D86,'Carga y Reparto'!P69&lt;&gt;0),TTHH!H86,0)</f>
        <v>0</v>
      </c>
    </row>
    <row r="65" spans="20:28" x14ac:dyDescent="0.3">
      <c r="T65" s="52" t="s">
        <v>72</v>
      </c>
      <c r="U65" s="56">
        <v>1.08</v>
      </c>
      <c r="V65" s="52">
        <v>14.8</v>
      </c>
      <c r="W65" s="56">
        <f t="shared" si="11"/>
        <v>15.984000000000002</v>
      </c>
      <c r="X65" s="52">
        <v>1.2</v>
      </c>
      <c r="Y65" s="56">
        <f t="shared" si="12"/>
        <v>1.296</v>
      </c>
      <c r="Z65" s="52">
        <v>-2.9</v>
      </c>
      <c r="AA65" s="56">
        <f t="shared" si="13"/>
        <v>-3.1320000000000001</v>
      </c>
      <c r="AB65" s="56">
        <f>IF(AND('Carga y Reparto'!P70&lt;TTHH!D87,'Carga y Reparto'!P70&lt;&gt;0),TTHH!H87,0)</f>
        <v>0</v>
      </c>
    </row>
    <row r="66" spans="20:28" x14ac:dyDescent="0.3">
      <c r="T66" s="52" t="s">
        <v>73</v>
      </c>
      <c r="U66" s="56">
        <v>0.72000000000000008</v>
      </c>
      <c r="V66" s="52">
        <v>14.5</v>
      </c>
      <c r="W66" s="56">
        <f t="shared" si="11"/>
        <v>10.440000000000001</v>
      </c>
      <c r="X66" s="52">
        <v>26.2</v>
      </c>
      <c r="Y66" s="56">
        <f t="shared" si="12"/>
        <v>18.864000000000001</v>
      </c>
      <c r="Z66" s="52">
        <v>-2.8</v>
      </c>
      <c r="AA66" s="56">
        <f t="shared" si="13"/>
        <v>-2.016</v>
      </c>
      <c r="AB66" s="56">
        <f>IF(AND('Carga y Reparto'!P71&lt;TTHH!D88,'Carga y Reparto'!P71&lt;&gt;0),TTHH!H88,0)</f>
        <v>0</v>
      </c>
    </row>
    <row r="67" spans="20:28" x14ac:dyDescent="0.3">
      <c r="T67" s="52" t="s">
        <v>74</v>
      </c>
      <c r="U67" s="56">
        <v>0.72000000000000008</v>
      </c>
      <c r="V67" s="52">
        <v>14.5</v>
      </c>
      <c r="W67" s="56">
        <f t="shared" si="11"/>
        <v>10.440000000000001</v>
      </c>
      <c r="X67" s="52">
        <v>26.2</v>
      </c>
      <c r="Y67" s="56">
        <f t="shared" si="12"/>
        <v>18.864000000000001</v>
      </c>
      <c r="Z67" s="52">
        <v>-3.6</v>
      </c>
      <c r="AA67" s="56">
        <f t="shared" si="13"/>
        <v>-2.5920000000000005</v>
      </c>
      <c r="AB67" s="56">
        <f>IF(AND('Carga y Reparto'!P72&lt;TTHH!D89,'Carga y Reparto'!P72&lt;&gt;0),TTHH!H89,0)</f>
        <v>0</v>
      </c>
    </row>
    <row r="68" spans="20:28" x14ac:dyDescent="0.3">
      <c r="T68" s="54" t="s">
        <v>75</v>
      </c>
      <c r="U68" s="38"/>
      <c r="V68" s="38"/>
      <c r="W68" s="38"/>
      <c r="X68" s="38"/>
      <c r="Y68" s="38"/>
      <c r="Z68" s="38"/>
      <c r="AA68" s="38"/>
      <c r="AB68" s="38"/>
    </row>
    <row r="69" spans="20:28" x14ac:dyDescent="0.3">
      <c r="T69" s="52" t="s">
        <v>76</v>
      </c>
      <c r="U69" s="56" cm="1">
        <f t="array" ref="U69:U70">'Carga y Reparto'!O76:O77</f>
        <v>119.5</v>
      </c>
      <c r="V69" s="52" cm="1">
        <f t="array" ref="V69:V70">TTHH!G97:G98</f>
        <v>15.85</v>
      </c>
      <c r="W69" s="56">
        <f>U69*V69</f>
        <v>1894.075</v>
      </c>
      <c r="X69" s="52" cm="1">
        <f t="array" ref="X69:X70">TTHH!E97:E98</f>
        <v>-0.81</v>
      </c>
      <c r="Y69" s="56">
        <f>U69*X69</f>
        <v>-96.795000000000002</v>
      </c>
      <c r="Z69" s="52" cm="1">
        <f t="array" ref="Z69:Z70">TTHH!F97:F98</f>
        <v>-8.2200000000000006</v>
      </c>
      <c r="AA69" s="56">
        <f>U69*Z69</f>
        <v>-982.29000000000008</v>
      </c>
      <c r="AB69" s="56">
        <f>IF(AND('Carga y Reparto'!P76&lt;TTHH!D97,'Carga y Reparto'!P76&lt;&gt;0),TTHH!H97,0)</f>
        <v>0</v>
      </c>
    </row>
    <row r="70" spans="20:28" x14ac:dyDescent="0.3">
      <c r="T70" s="52" t="s">
        <v>77</v>
      </c>
      <c r="U70" s="56">
        <v>0</v>
      </c>
      <c r="V70" s="52">
        <v>15.85</v>
      </c>
      <c r="W70" s="56">
        <f>U70*V70</f>
        <v>0</v>
      </c>
      <c r="X70" s="52">
        <v>-0.81</v>
      </c>
      <c r="Y70" s="56">
        <f>U70*X70</f>
        <v>0</v>
      </c>
      <c r="Z70" s="52">
        <v>8.2200000000000006</v>
      </c>
      <c r="AA70" s="56">
        <f>U70*Z70</f>
        <v>0</v>
      </c>
      <c r="AB70" s="56">
        <f>IF(AND('Carga y Reparto'!P77&lt;TTHH!D98,'Carga y Reparto'!P77&lt;&gt;0),TTHH!H98,0)</f>
        <v>0</v>
      </c>
    </row>
    <row r="71" spans="20:28" x14ac:dyDescent="0.3">
      <c r="T71" s="54" t="s">
        <v>79</v>
      </c>
      <c r="U71" s="38"/>
      <c r="V71" s="38"/>
      <c r="W71" s="38"/>
      <c r="X71" s="38"/>
      <c r="Y71" s="38"/>
      <c r="Z71" s="38"/>
      <c r="AA71" s="38"/>
      <c r="AB71" s="38"/>
    </row>
    <row r="72" spans="20:28" x14ac:dyDescent="0.3">
      <c r="T72" s="52" t="s">
        <v>80</v>
      </c>
      <c r="U72" s="56" cm="1">
        <f t="array" ref="U72:U74">'Carga y Reparto'!O81:O83</f>
        <v>0</v>
      </c>
      <c r="V72" s="52" cm="1">
        <f t="array" ref="V72:V74">TTHH!G106:G108</f>
        <v>1.5</v>
      </c>
      <c r="W72" s="56">
        <f>U72*V72</f>
        <v>0</v>
      </c>
      <c r="X72" s="52" cm="1">
        <f t="array" ref="X72:X74">TTHH!E106:E108</f>
        <v>16.23</v>
      </c>
      <c r="Y72" s="56">
        <f>U72*X72</f>
        <v>0</v>
      </c>
      <c r="Z72" s="52" cm="1">
        <f t="array" ref="Z72:Z74">TTHH!F106:F108</f>
        <v>-2.4500000000000002</v>
      </c>
      <c r="AA72" s="56">
        <f>U72*Z72</f>
        <v>0</v>
      </c>
      <c r="AB72" s="56">
        <f>IF(AND('Carga y Reparto'!P81&lt;TTHH!D106,'Carga y Reparto'!P81&lt;&gt;0),TTHH!H106,0)</f>
        <v>0</v>
      </c>
    </row>
    <row r="73" spans="20:28" x14ac:dyDescent="0.3">
      <c r="T73" s="52" t="s">
        <v>81</v>
      </c>
      <c r="U73" s="56">
        <v>0</v>
      </c>
      <c r="V73" s="52">
        <v>1.46</v>
      </c>
      <c r="W73" s="56">
        <f>U73*V73</f>
        <v>0</v>
      </c>
      <c r="X73" s="52">
        <v>17.25</v>
      </c>
      <c r="Y73" s="56">
        <f>U73*X73</f>
        <v>0</v>
      </c>
      <c r="Z73" s="52">
        <v>2.56</v>
      </c>
      <c r="AA73" s="56">
        <f>U73*Z73</f>
        <v>0</v>
      </c>
      <c r="AB73" s="56">
        <f>IF(AND('Carga y Reparto'!P82&lt;TTHH!D107,'Carga y Reparto'!P82&lt;&gt;0),TTHH!H107,0)</f>
        <v>0</v>
      </c>
    </row>
    <row r="74" spans="20:28" x14ac:dyDescent="0.3">
      <c r="T74" s="52" t="s">
        <v>82</v>
      </c>
      <c r="U74" s="56">
        <v>0</v>
      </c>
      <c r="V74" s="52">
        <v>1.58</v>
      </c>
      <c r="W74" s="56">
        <f>U74*V74</f>
        <v>0</v>
      </c>
      <c r="X74" s="52">
        <v>8.89</v>
      </c>
      <c r="Y74" s="56">
        <f>U74*X74</f>
        <v>0</v>
      </c>
      <c r="Z74" s="52">
        <v>0</v>
      </c>
      <c r="AA74" s="56">
        <f>U74*Z74</f>
        <v>0</v>
      </c>
      <c r="AB74" s="56">
        <f>IF(AND('Carga y Reparto'!P83&lt;TTHH!D108,'Carga y Reparto'!P83&lt;&gt;0),TTHH!H108,0)</f>
        <v>0</v>
      </c>
    </row>
    <row r="75" spans="20:28" x14ac:dyDescent="0.3">
      <c r="T75" s="54" t="s">
        <v>84</v>
      </c>
      <c r="U75" s="38"/>
      <c r="V75" s="38"/>
      <c r="W75" s="38"/>
      <c r="X75" s="38"/>
      <c r="Y75" s="38"/>
      <c r="Z75" s="38"/>
      <c r="AA75" s="38"/>
      <c r="AB75" s="38"/>
    </row>
    <row r="76" spans="20:28" x14ac:dyDescent="0.3">
      <c r="T76" s="52" t="s">
        <v>85</v>
      </c>
      <c r="U76" s="56" cm="1">
        <f t="array" ref="U76:U80">'Carga y Reparto'!O87:O91</f>
        <v>0</v>
      </c>
      <c r="V76" s="52" cm="1">
        <f t="array" ref="V76:V80">Tabla21[[#All],[Columna5]]</f>
        <v>3.23</v>
      </c>
      <c r="W76" s="56">
        <f>U76*V76</f>
        <v>0</v>
      </c>
      <c r="X76" s="52" cm="1">
        <f t="array" ref="X76:X80">Tabla21[[#All],[Columna3]]</f>
        <v>7.26</v>
      </c>
      <c r="Y76" s="56">
        <f>U76*X76</f>
        <v>0</v>
      </c>
      <c r="Z76" s="52" cm="1">
        <f t="array" ref="Z76:Z80">Tabla21[[#All],[Columna4]]</f>
        <v>0</v>
      </c>
      <c r="AA76" s="56">
        <f>U76*Z76</f>
        <v>0</v>
      </c>
      <c r="AB76" s="56">
        <f>IF(AND('Carga y Reparto'!P87&lt;TTHH!D116,'Carga y Reparto'!P87&lt;&gt;0),TTHH!H116,0)</f>
        <v>0</v>
      </c>
    </row>
    <row r="77" spans="20:28" x14ac:dyDescent="0.3">
      <c r="T77" s="52" t="s">
        <v>86</v>
      </c>
      <c r="U77" s="56">
        <v>0</v>
      </c>
      <c r="V77" s="52">
        <v>11.61</v>
      </c>
      <c r="W77" s="56">
        <f>U77*V77</f>
        <v>0</v>
      </c>
      <c r="X77" s="52">
        <v>8.9600000000000009</v>
      </c>
      <c r="Y77" s="56">
        <f>U77*X77</f>
        <v>0</v>
      </c>
      <c r="Z77" s="52">
        <v>8.82</v>
      </c>
      <c r="AA77" s="56">
        <f>U77*Z77</f>
        <v>0</v>
      </c>
      <c r="AB77" s="56">
        <f>IF(AND('Carga y Reparto'!P88&lt;TTHH!D117,'Carga y Reparto'!P88&lt;&gt;0),TTHH!H117,0)</f>
        <v>0</v>
      </c>
    </row>
    <row r="78" spans="20:28" x14ac:dyDescent="0.3">
      <c r="T78" s="52" t="s">
        <v>87</v>
      </c>
      <c r="U78" s="56">
        <v>0</v>
      </c>
      <c r="V78" s="52">
        <v>1.27</v>
      </c>
      <c r="W78" s="56">
        <f>U78*V78</f>
        <v>0</v>
      </c>
      <c r="X78" s="52">
        <v>23.4</v>
      </c>
      <c r="Y78" s="56">
        <f>U78*X78</f>
        <v>0</v>
      </c>
      <c r="Z78" s="52">
        <v>3.18</v>
      </c>
      <c r="AA78" s="56">
        <f>U78*Z78</f>
        <v>0</v>
      </c>
      <c r="AB78" s="56">
        <f>IF(AND('Carga y Reparto'!P89&lt;TTHH!D118,'Carga y Reparto'!P89&lt;&gt;0),TTHH!H118,0)</f>
        <v>0</v>
      </c>
    </row>
    <row r="79" spans="20:28" x14ac:dyDescent="0.3">
      <c r="T79" s="52" t="s">
        <v>88</v>
      </c>
      <c r="U79" s="56">
        <v>0</v>
      </c>
      <c r="V79" s="52">
        <v>1.34</v>
      </c>
      <c r="W79" s="56">
        <f>U79*V79</f>
        <v>0</v>
      </c>
      <c r="X79" s="52">
        <v>11.95</v>
      </c>
      <c r="Y79" s="56">
        <f>U79*X79</f>
        <v>0</v>
      </c>
      <c r="Z79" s="52">
        <v>-0.18</v>
      </c>
      <c r="AA79" s="56">
        <f>U79*Z79</f>
        <v>0</v>
      </c>
      <c r="AB79" s="56">
        <f>IF(AND('Carga y Reparto'!P90&lt;TTHH!D119,'Carga y Reparto'!P90&lt;&gt;0),TTHH!H119,0)</f>
        <v>0</v>
      </c>
    </row>
    <row r="80" spans="20:28" x14ac:dyDescent="0.3">
      <c r="T80" s="52" t="s">
        <v>89</v>
      </c>
      <c r="U80" s="56">
        <v>0</v>
      </c>
      <c r="V80" s="52">
        <v>1.28</v>
      </c>
      <c r="W80" s="56">
        <f>U80*V80</f>
        <v>0</v>
      </c>
      <c r="X80" s="52">
        <v>13.21</v>
      </c>
      <c r="Y80" s="56">
        <f>U80*X80</f>
        <v>0</v>
      </c>
      <c r="Z80" s="52">
        <v>1.03</v>
      </c>
      <c r="AA80" s="56">
        <f>U80*Z80</f>
        <v>0</v>
      </c>
      <c r="AB80" s="56">
        <f>IF(AND('Carga y Reparto'!P91&lt;TTHH!D120,'Carga y Reparto'!P91&lt;&gt;0),TTHH!H120,0)</f>
        <v>0</v>
      </c>
    </row>
    <row r="81" spans="20:28" x14ac:dyDescent="0.3">
      <c r="T81" s="38"/>
      <c r="U81" s="38"/>
      <c r="V81" s="38"/>
      <c r="W81" s="38"/>
      <c r="X81" s="38"/>
      <c r="Y81" s="38"/>
      <c r="Z81" s="38"/>
      <c r="AA81" s="38"/>
      <c r="AB81" s="38"/>
    </row>
    <row r="82" spans="20:28" x14ac:dyDescent="0.3">
      <c r="T82" s="52" t="s">
        <v>385</v>
      </c>
      <c r="U82" s="52">
        <f>TTHH!K12</f>
        <v>11044.1</v>
      </c>
      <c r="V82" s="52">
        <f>TTHH!K14</f>
        <v>11.85</v>
      </c>
      <c r="W82" s="56">
        <f>U82*V82</f>
        <v>130872.58500000001</v>
      </c>
      <c r="X82" s="52">
        <f>TTHH!K13</f>
        <v>84.08</v>
      </c>
      <c r="Y82" s="56">
        <f>X82*U82</f>
        <v>928587.92799999996</v>
      </c>
      <c r="Z82" s="52">
        <v>0</v>
      </c>
      <c r="AA82" s="56">
        <f>U82*Z82</f>
        <v>0</v>
      </c>
      <c r="AB82" s="18"/>
    </row>
    <row r="83" spans="20:28" x14ac:dyDescent="0.3">
      <c r="T83" s="52" t="s">
        <v>461</v>
      </c>
      <c r="U83" s="56" cm="1">
        <f t="array" ref="U83:AA83">_xlfn.ANCHORARRAY('Condición Actual'!U83)</f>
        <v>21</v>
      </c>
      <c r="V83" s="56">
        <v>16.428571428571427</v>
      </c>
      <c r="W83" s="56">
        <v>345</v>
      </c>
      <c r="X83" s="56">
        <v>65.714285714285708</v>
      </c>
      <c r="Y83" s="56">
        <v>1380</v>
      </c>
      <c r="Z83" s="56">
        <v>7.1428571428571432</v>
      </c>
      <c r="AA83" s="56">
        <v>150</v>
      </c>
      <c r="AB83" s="18"/>
    </row>
    <row r="84" spans="20:28" x14ac:dyDescent="0.3">
      <c r="T84" s="38"/>
      <c r="U84" s="52" t="s">
        <v>3</v>
      </c>
      <c r="V84" s="52" t="s">
        <v>17</v>
      </c>
      <c r="W84" s="52" t="s">
        <v>382</v>
      </c>
      <c r="X84" s="52" t="s">
        <v>15</v>
      </c>
      <c r="Y84" s="52" t="s">
        <v>383</v>
      </c>
      <c r="Z84" s="52" t="s">
        <v>16</v>
      </c>
      <c r="AA84" s="52" t="s">
        <v>384</v>
      </c>
      <c r="AB84" s="52" t="s">
        <v>4</v>
      </c>
    </row>
    <row r="85" spans="20:28" x14ac:dyDescent="0.3">
      <c r="T85" s="54" t="s">
        <v>386</v>
      </c>
      <c r="U85" s="56">
        <f ca="1">SUM(U11:U83)</f>
        <v>53080.9</v>
      </c>
      <c r="V85" s="56">
        <f ca="1">IFERROR(W85/U85,0)</f>
        <v>10.147751188294089</v>
      </c>
      <c r="W85" s="56">
        <f ca="1">SUM(W11:W83)</f>
        <v>538651.76605071977</v>
      </c>
      <c r="X85" s="56">
        <f ca="1">IFERROR(Y85/U85,0)</f>
        <v>97.886345795700066</v>
      </c>
      <c r="Y85" s="56">
        <f ca="1">SUM(Y11:Y83)</f>
        <v>5195895.3325469755</v>
      </c>
      <c r="Z85" s="56">
        <f ca="1">IFERROR(AA85/U85,0)</f>
        <v>6.6479856219461012E-5</v>
      </c>
      <c r="AA85" s="56">
        <f ca="1">SUM(AA11:AA83)</f>
        <v>3.5288105999995878</v>
      </c>
      <c r="AB85" s="56">
        <f>SUM(AB17:AB83)</f>
        <v>721</v>
      </c>
    </row>
  </sheetData>
  <conditionalFormatting sqref="F54:G56">
    <cfRule type="expression" dxfId="142" priority="1">
      <formula>$O$10="Ocultar"</formula>
    </cfRule>
  </conditionalFormatting>
  <conditionalFormatting sqref="F42:I52">
    <cfRule type="expression" dxfId="141" priority="4">
      <formula>$O$10="Ocultar"</formula>
    </cfRule>
  </conditionalFormatting>
  <conditionalFormatting sqref="F36:P40">
    <cfRule type="expression" dxfId="140" priority="10">
      <formula>$O$10="Ocultar"</formula>
    </cfRule>
  </conditionalFormatting>
  <conditionalFormatting sqref="L12:M18">
    <cfRule type="expression" dxfId="139" priority="11">
      <formula>$O$10="Ocultar"</formula>
    </cfRule>
  </conditionalFormatting>
  <conditionalFormatting sqref="O12:P15">
    <cfRule type="expression" dxfId="138" priority="22">
      <formula>$O$10="Ocultar"</formula>
    </cfRule>
  </conditionalFormatting>
  <dataValidations count="1">
    <dataValidation type="list" allowBlank="1" showInputMessage="1" showErrorMessage="1" sqref="O10" xr:uid="{F6639969-6ECF-4D06-B792-95E3619735FD}">
      <formula1>"Ver Cuentas, Ocultar"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5608-2F01-4AFA-8354-0E9CB538CEB1}">
  <sheetPr>
    <tabColor rgb="FFE2007D"/>
  </sheetPr>
  <dimension ref="F7:AS85"/>
  <sheetViews>
    <sheetView topLeftCell="A8" workbookViewId="0">
      <selection activeCell="AH22" sqref="AH22"/>
    </sheetView>
    <sheetView workbookViewId="1"/>
  </sheetViews>
  <sheetFormatPr baseColWidth="10" defaultRowHeight="14.4" x14ac:dyDescent="0.3"/>
  <cols>
    <col min="1" max="16384" width="11.5546875" style="8"/>
  </cols>
  <sheetData>
    <row r="7" spans="6:45" x14ac:dyDescent="0.3">
      <c r="AJ7" s="29" t="s">
        <v>500</v>
      </c>
      <c r="AK7" s="29" t="s">
        <v>501</v>
      </c>
      <c r="AL7" s="44">
        <f>G8</f>
        <v>7</v>
      </c>
    </row>
    <row r="8" spans="6:45" x14ac:dyDescent="0.3">
      <c r="F8" s="54" t="s">
        <v>526</v>
      </c>
      <c r="G8" s="60">
        <v>7</v>
      </c>
      <c r="I8" s="52" t="s">
        <v>527</v>
      </c>
      <c r="J8" s="60">
        <v>1.0249999999999999</v>
      </c>
      <c r="AJ8" s="29" t="s">
        <v>482</v>
      </c>
      <c r="AK8" s="29" t="s">
        <v>99</v>
      </c>
      <c r="AL8" s="29" t="s">
        <v>15</v>
      </c>
      <c r="AM8" s="29" t="s">
        <v>383</v>
      </c>
      <c r="AN8" s="50" cm="1">
        <f t="array" ref="AN8:AO17">Consumos!M8:N17</f>
        <v>0</v>
      </c>
      <c r="AO8" s="29" t="str">
        <v>Cap SAL</v>
      </c>
      <c r="AP8" s="29" t="s">
        <v>524</v>
      </c>
      <c r="AQ8" s="29" t="s">
        <v>525</v>
      </c>
      <c r="AR8" s="29" t="s">
        <v>359</v>
      </c>
      <c r="AS8" s="29" t="s">
        <v>528</v>
      </c>
    </row>
    <row r="9" spans="6:45" x14ac:dyDescent="0.3">
      <c r="AJ9" s="43" t="str" cm="1">
        <f t="array" ref="AJ9:AJ17">Consumos!E9:E17</f>
        <v>Deep P 2</v>
      </c>
      <c r="AK9" s="31" cm="1">
        <f t="array" ref="AK9">IF(SUM(Consumos!$I$9:I9)&lt;'Condición Día D'!$AL$7,Consumos!J9,IF(SUM(Consumos!$I$9:I9)&gt;'Condición Día D'!$AL$7,Consumos!F9*('Condición Día D'!$AL$7-SUM(Consumos!$I$8:I8)),IF(AND(SUM(Consumos!$I$9:I9)&gt;'Condición Día D'!$AL$7,'Condición Día D'!$AL$7-SUM(Consumos!$I$8:I8&lt;0)),0)))</f>
        <v>210</v>
      </c>
      <c r="AL9" s="6">
        <f>IFERROR(_xlfn.XLOOKUP(AJ9,'Carga y Reparto'!$AD$92:$AD$100,'Carga y Reparto'!$AE$92:$AE$100),0)</f>
        <v>17.920000000000002</v>
      </c>
      <c r="AM9" s="32">
        <f t="shared" ref="AM9:AM17" si="0">IFERROR(AK9*AL9,0)</f>
        <v>3763.2000000000003</v>
      </c>
      <c r="AN9" s="29" t="str">
        <v>Deep P 1</v>
      </c>
      <c r="AO9" s="31">
        <v>0</v>
      </c>
      <c r="AP9" s="32" cm="1">
        <f t="array" ref="AP9">IFERROR(_xlfn.XLOOKUP(AN9,_xlfn.ANCHORARRAY($AJ$9),$AK$9:$AK$17),0)</f>
        <v>0</v>
      </c>
      <c r="AQ9" s="32">
        <f>AO9-AP9</f>
        <v>0</v>
      </c>
      <c r="AR9" s="32" cm="1">
        <f t="array" ref="AR9:AR17">'Carga y Reparto'!Q17:Q25</f>
        <v>0.95</v>
      </c>
      <c r="AS9" s="32">
        <f>IFERROR(AQ9/AR9,0)</f>
        <v>0</v>
      </c>
    </row>
    <row r="10" spans="6:45" x14ac:dyDescent="0.3">
      <c r="F10" s="54" t="s">
        <v>530</v>
      </c>
      <c r="G10" s="56">
        <f ca="1">U85</f>
        <v>52828.9</v>
      </c>
      <c r="I10" s="52" t="s">
        <v>538</v>
      </c>
      <c r="J10" s="56">
        <f ca="1">IFERROR(DEGREES(ATAN(Z85)/G16),0)</f>
        <v>0.54782979339310622</v>
      </c>
      <c r="O10" s="57" t="s">
        <v>581</v>
      </c>
      <c r="T10" s="54" t="s">
        <v>11</v>
      </c>
      <c r="U10" s="52" t="s">
        <v>3</v>
      </c>
      <c r="V10" s="52" t="s">
        <v>17</v>
      </c>
      <c r="W10" s="52" t="s">
        <v>382</v>
      </c>
      <c r="X10" s="52" t="s">
        <v>15</v>
      </c>
      <c r="Y10" s="52" t="s">
        <v>383</v>
      </c>
      <c r="Z10" s="52" t="s">
        <v>16</v>
      </c>
      <c r="AA10" s="52" t="s">
        <v>384</v>
      </c>
      <c r="AB10" s="52" t="s">
        <v>4</v>
      </c>
      <c r="AD10" s="54" t="s">
        <v>11</v>
      </c>
      <c r="AE10" s="52" t="s">
        <v>387</v>
      </c>
      <c r="AF10" s="52" t="s">
        <v>354</v>
      </c>
      <c r="AG10" s="52" t="s">
        <v>388</v>
      </c>
      <c r="AJ10" s="43" t="str">
        <v>Service Tk 1</v>
      </c>
      <c r="AK10" s="31">
        <f>IF(SUM(Consumos!$I9:I$9) &gt;= 'Condición Día D'!$AL$7, 0, IF(SUM(Consumos!$I$9:I10) &lt; 'Condición Día D'!$AL$7, Consumos!J10, Consumos!F10 * ('Condición Día D'!$AL$7 - SUM(Consumos!$I9:I$9))))</f>
        <v>0</v>
      </c>
      <c r="AL10" s="6">
        <f>IFERROR(_xlfn.XLOOKUP(AJ10,'Carga y Reparto'!$AD$92:$AD$100,'Carga y Reparto'!$AE$92:$AE$100),0)</f>
        <v>22.4</v>
      </c>
      <c r="AM10" s="32">
        <f t="shared" si="0"/>
        <v>0</v>
      </c>
      <c r="AN10" s="29" t="str">
        <v>Deep S 1</v>
      </c>
      <c r="AO10" s="31">
        <v>0</v>
      </c>
      <c r="AP10" s="32" cm="1">
        <f t="array" ref="AP10">IFERROR(_xlfn.XLOOKUP(AN10,_xlfn.ANCHORARRAY($AJ$9),$AK$9:$AK$17),0)</f>
        <v>0</v>
      </c>
      <c r="AQ10" s="32">
        <f t="shared" ref="AQ10:AQ17" si="1">AO10-AP10</f>
        <v>0</v>
      </c>
      <c r="AR10" s="32">
        <v>0.95</v>
      </c>
      <c r="AS10" s="32">
        <f t="shared" ref="AS10:AS17" si="2">IFERROR(AQ10/AR10,0)</f>
        <v>0</v>
      </c>
    </row>
    <row r="11" spans="6:45" x14ac:dyDescent="0.3">
      <c r="F11" s="52" t="s">
        <v>531</v>
      </c>
      <c r="G11" s="56">
        <f ca="1">V85</f>
        <v>10.13494329904124</v>
      </c>
      <c r="I11" s="54" t="s">
        <v>380</v>
      </c>
      <c r="T11" s="52" t="s">
        <v>6</v>
      </c>
      <c r="U11" s="56" cm="1">
        <f t="array" aca="1" ref="U11:V15" ca="1">'Condición Salida'!U11:V15</f>
        <v>10453.033452397769</v>
      </c>
      <c r="V11" s="56">
        <f ca="1"/>
        <v>10.119999999999999</v>
      </c>
      <c r="W11" s="56">
        <f ca="1">U11*V11</f>
        <v>105784.69853826541</v>
      </c>
      <c r="X11" s="56" cm="1">
        <f t="array" aca="1" ref="X11:X15" ca="1">'Condición Salida'!X11:X15</f>
        <v>158.59</v>
      </c>
      <c r="Y11" s="56">
        <f ca="1">U11*X11</f>
        <v>1657746.5752157622</v>
      </c>
      <c r="Z11" s="52" cm="1">
        <f t="array" ref="Z11:Z15">_xlfn.ANCHORARRAY('Condición Salida'!Z11)</f>
        <v>0</v>
      </c>
      <c r="AA11" s="10">
        <f ca="1">U11*Z11</f>
        <v>0</v>
      </c>
      <c r="AB11" s="18"/>
      <c r="AD11" s="52" t="s">
        <v>6</v>
      </c>
      <c r="AE11" s="56">
        <f ca="1">IFERROR(FORECAST('Carga y Reparto'!AC9, OFFSET(TTHH!Z10, MATCH('Carga y Reparto'!AC9,TTHH!$Y$10:$Y$99,-1)-1, 0, 2), OFFSET(TTHH!$Y$10, MATCH('Carga y Reparto'!AC9,TTHH!$Y$10:$Y$99,-1)-1, 0, 2)),0)</f>
        <v>536</v>
      </c>
      <c r="AF11" s="56" cm="1">
        <f t="array" ref="AF11:AF15">'Carga y Reparto'!AF80:AF84</f>
        <v>1.1892720000000001</v>
      </c>
      <c r="AG11" s="56">
        <f ca="1">IFERROR(AE11/AF11,0)</f>
        <v>450.69588790453315</v>
      </c>
      <c r="AJ11" s="43" t="str">
        <v>Deep S 2</v>
      </c>
      <c r="AK11" s="31">
        <f>IF(SUM(Consumos!$I$9:I10) &gt;= 'Condición Día D'!$AL$7, 0, IF(SUM(Consumos!$I$9:I11) &lt; 'Condición Día D'!$AL$7, Consumos!J11, Consumos!F11 * ('Condición Día D'!$AL$7 - SUM(Consumos!$I$9:I10))))</f>
        <v>0</v>
      </c>
      <c r="AL11" s="6">
        <f>IFERROR(_xlfn.XLOOKUP(AJ11,'Carga y Reparto'!$AD$92:$AD$100,'Carga y Reparto'!$AE$92:$AE$100),0)</f>
        <v>17.47</v>
      </c>
      <c r="AM11" s="32">
        <f t="shared" si="0"/>
        <v>0</v>
      </c>
      <c r="AN11" s="29" t="str">
        <v>Deep P 2</v>
      </c>
      <c r="AO11" s="31">
        <v>354.57799999999997</v>
      </c>
      <c r="AP11" s="32" cm="1">
        <f t="array" ref="AP11">IFERROR(_xlfn.XLOOKUP(AN11,_xlfn.ANCHORARRAY($AJ$9),$AK$9:$AK$17),0)</f>
        <v>210</v>
      </c>
      <c r="AQ11" s="32">
        <f t="shared" si="1"/>
        <v>144.57799999999997</v>
      </c>
      <c r="AR11" s="32">
        <v>0.95</v>
      </c>
      <c r="AS11" s="32">
        <f t="shared" si="2"/>
        <v>152.18736842105261</v>
      </c>
    </row>
    <row r="12" spans="6:45" x14ac:dyDescent="0.3">
      <c r="F12" s="52" t="s">
        <v>532</v>
      </c>
      <c r="G12" s="56">
        <f ca="1">G11+G15</f>
        <v>10.150995119162424</v>
      </c>
      <c r="I12" s="52" t="s">
        <v>374</v>
      </c>
      <c r="J12" s="56">
        <f ca="1">IFERROR(AE73,0)</f>
        <v>10.568238804329109</v>
      </c>
      <c r="L12" s="29" t="s">
        <v>370</v>
      </c>
      <c r="M12" s="40">
        <f ca="1">IFERROR(AB85/U85,"")</f>
        <v>1.6051820121183669E-2</v>
      </c>
      <c r="O12" s="29" t="s">
        <v>393</v>
      </c>
      <c r="P12" s="32">
        <f ca="1">IFERROR(AG17/G10,"")</f>
        <v>0.61850136767877761</v>
      </c>
      <c r="T12" s="52" t="s">
        <v>7</v>
      </c>
      <c r="U12" s="56">
        <f ca="1"/>
        <v>6666.7965382446964</v>
      </c>
      <c r="V12" s="56">
        <f ca="1"/>
        <v>7.1807724616872548</v>
      </c>
      <c r="W12" s="56">
        <f ca="1">U12*V12</f>
        <v>47872.748989499436</v>
      </c>
      <c r="X12" s="56">
        <f ca="1"/>
        <v>130.02000000000001</v>
      </c>
      <c r="Y12" s="56">
        <f ca="1">U12*X12</f>
        <v>866816.88590257545</v>
      </c>
      <c r="Z12" s="52">
        <v>0</v>
      </c>
      <c r="AA12" s="56">
        <f ca="1">U12*Z12</f>
        <v>0</v>
      </c>
      <c r="AB12" s="18"/>
      <c r="AD12" s="52" t="s">
        <v>7</v>
      </c>
      <c r="AE12" s="56">
        <f ca="1">IFERROR(FORECAST('Carga y Reparto'!AC10, OFFSET(TTHH!AG10,MATCH('Carga y Reparto'!AC10,TTHH!$AF$10:$AF$100,-1)-1,0,2), OFFSET(TTHH!$AF$10,MATCH('Carga y Reparto'!AC10,TTHH!$AF$10:$AF$100,-1)-1,0,2)),0)</f>
        <v>25996.562545491717</v>
      </c>
      <c r="AF12" s="56">
        <v>1.2742200000000001</v>
      </c>
      <c r="AG12" s="56">
        <f ca="1">IFERROR(AE12/AF12,0)</f>
        <v>20401.942008045484</v>
      </c>
      <c r="AJ12" s="43">
        <v>0</v>
      </c>
      <c r="AK12" s="31">
        <f>IF(SUM(Consumos!$I$9:I11) &gt;= 'Condición Día D'!$AL$7, 0, IF(SUM(Consumos!$I$9:I12) &lt; 'Condición Día D'!$AL$7, Consumos!J12, Consumos!F12 * ('Condición Día D'!$AL$7 - SUM(Consumos!$I$9:I11))))</f>
        <v>0</v>
      </c>
      <c r="AL12" s="6">
        <f>IFERROR(_xlfn.XLOOKUP(AJ12,'Carga y Reparto'!$AD$92:$AD$100,'Carga y Reparto'!$AE$92:$AE$100),0)</f>
        <v>0</v>
      </c>
      <c r="AM12" s="32">
        <f t="shared" si="0"/>
        <v>0</v>
      </c>
      <c r="AN12" s="29" t="str">
        <v>Deep S 2</v>
      </c>
      <c r="AO12" s="31">
        <v>450.48999999999995</v>
      </c>
      <c r="AP12" s="32" cm="1">
        <f t="array" ref="AP12">IFERROR(_xlfn.XLOOKUP(AN12,_xlfn.ANCHORARRAY($AJ$9),$AK$9:$AK$17),0)</f>
        <v>0</v>
      </c>
      <c r="AQ12" s="32">
        <f t="shared" si="1"/>
        <v>450.48999999999995</v>
      </c>
      <c r="AR12" s="32">
        <v>0.95</v>
      </c>
      <c r="AS12" s="32">
        <f t="shared" si="2"/>
        <v>474.2</v>
      </c>
    </row>
    <row r="13" spans="6:45" x14ac:dyDescent="0.3">
      <c r="F13" s="52" t="s">
        <v>533</v>
      </c>
      <c r="G13" s="56">
        <f ca="1">X85</f>
        <v>98.275827672864182</v>
      </c>
      <c r="I13" s="52" t="s">
        <v>375</v>
      </c>
      <c r="J13" s="56">
        <f ca="1">IFERROR(AG73,0)</f>
        <v>10.414895406978326</v>
      </c>
      <c r="L13" s="29" t="s">
        <v>390</v>
      </c>
      <c r="M13" s="40">
        <f ca="1">IFERROR(FORECAST(M18, OFFSET(TTHH!CR10, MATCH(M18,Tabla4[[#All],[Columna1]],1)-1, 0, 2), OFFSET(TTHH!CL10, MATCH(M18,Tabla4[[#All],[Columna1]],1)-1, 0, 2)),"")</f>
        <v>9.2316866548042711</v>
      </c>
      <c r="O13" s="29" t="s">
        <v>394</v>
      </c>
      <c r="P13" s="32">
        <f ca="1">IFERROR(0.8*P12,"")</f>
        <v>0.49480109414302209</v>
      </c>
      <c r="T13" s="52" t="s">
        <v>8</v>
      </c>
      <c r="U13" s="56">
        <f ca="1"/>
        <v>11226.447776454837</v>
      </c>
      <c r="V13" s="56">
        <f ca="1"/>
        <v>10.210000000000001</v>
      </c>
      <c r="W13" s="56">
        <f ca="1">U13*V13</f>
        <v>114622.03179760389</v>
      </c>
      <c r="X13" s="56">
        <f ca="1"/>
        <v>101.22</v>
      </c>
      <c r="Y13" s="56">
        <f ca="1">U13*X13</f>
        <v>1136341.0439327587</v>
      </c>
      <c r="Z13" s="52">
        <v>0</v>
      </c>
      <c r="AA13" s="56">
        <f ca="1">U13*Z13</f>
        <v>0</v>
      </c>
      <c r="AB13" s="18"/>
      <c r="AD13" s="52" t="s">
        <v>8</v>
      </c>
      <c r="AE13" s="56">
        <f ca="1">IFERROR(FORECAST('Carga y Reparto'!AC11, OFFSET(TTHH!AN10,MATCH('Carga y Reparto'!AC11,TTHH!$AM$10:$AM$100,-1)-1,0,2), OFFSET(TTHH!$AM$10,MATCH('Carga y Reparto'!AC11,TTHH!$AM$10:$AM$100,-1)-1,0,2)),0)</f>
        <v>688</v>
      </c>
      <c r="AF13" s="56">
        <v>1.1892720000000001</v>
      </c>
      <c r="AG13" s="56">
        <f ca="1">IFERROR(AE13/AF13,0)</f>
        <v>578.50516954910222</v>
      </c>
      <c r="AJ13" s="43">
        <v>0</v>
      </c>
      <c r="AK13" s="31">
        <f>IF(SUM(Consumos!$I$9:I12) &gt;= 'Condición Día D'!$AL$7, 0, IF(SUM(Consumos!$I$9:I13) &lt; 'Condición Día D'!$AL$7, Consumos!J13, Consumos!F13 * ('Condición Día D'!$AL$7 - SUM(Consumos!$I$9:I12))))</f>
        <v>0</v>
      </c>
      <c r="AL13" s="6">
        <f>IFERROR(_xlfn.XLOOKUP(AJ13,'Carga y Reparto'!$AD$92:$AD$100,'Carga y Reparto'!$AE$92:$AE$100),0)</f>
        <v>0</v>
      </c>
      <c r="AM13" s="32">
        <f t="shared" si="0"/>
        <v>0</v>
      </c>
      <c r="AN13" s="29" t="str">
        <v>Service Tk 1</v>
      </c>
      <c r="AO13" s="31">
        <v>42.94</v>
      </c>
      <c r="AP13" s="32" cm="1">
        <f t="array" ref="AP13">IFERROR(_xlfn.XLOOKUP(AN13,_xlfn.ANCHORARRAY($AJ$9),$AK$9:$AK$17),0)</f>
        <v>0</v>
      </c>
      <c r="AQ13" s="32">
        <f t="shared" si="1"/>
        <v>42.94</v>
      </c>
      <c r="AR13" s="32">
        <v>0.95</v>
      </c>
      <c r="AS13" s="32">
        <f t="shared" si="2"/>
        <v>45.2</v>
      </c>
    </row>
    <row r="14" spans="6:45" x14ac:dyDescent="0.3">
      <c r="F14" s="52" t="s">
        <v>534</v>
      </c>
      <c r="G14" s="56">
        <f ca="1">Z85</f>
        <v>3.5836044487013725E-2</v>
      </c>
      <c r="I14" s="52" t="s">
        <v>376</v>
      </c>
      <c r="J14" s="56">
        <f ca="1">AI73</f>
        <v>10.485149466192171</v>
      </c>
      <c r="L14" s="29" t="s">
        <v>391</v>
      </c>
      <c r="M14" s="40">
        <f ca="1">IFERROR(FORECAST(M18, OFFSET(TTHH!P22, MATCH(M18,Tabla22[[#All],[Columna1]],1)-1, 0, 2), OFFSET(TTHH!J22, MATCH(M18,Tabla22[[#All],[Columna1]],1)-1, 0, 2)),"")</f>
        <v>13.897370106761567</v>
      </c>
      <c r="O14" s="29" t="s">
        <v>395</v>
      </c>
      <c r="P14" s="32">
        <f ca="1">IFERROR(M13-G12*SIN(RADIANS(40))-ABS(Z85)*COS(RADIANS(40)),"")</f>
        <v>2.6793007634754882</v>
      </c>
      <c r="T14" s="52" t="s">
        <v>9</v>
      </c>
      <c r="U14" s="56">
        <f ca="1"/>
        <v>971.62247758777448</v>
      </c>
      <c r="V14" s="56">
        <f ca="1"/>
        <v>2.6451242211056494</v>
      </c>
      <c r="W14" s="56">
        <f ca="1">U14*V14</f>
        <v>2570.0621492381033</v>
      </c>
      <c r="X14" s="56">
        <f ca="1"/>
        <v>72.400000000000006</v>
      </c>
      <c r="Y14" s="56">
        <f ca="1">U14*X14</f>
        <v>70345.467377354871</v>
      </c>
      <c r="Z14" s="52">
        <v>0</v>
      </c>
      <c r="AA14" s="56">
        <f ca="1">U14*Z14</f>
        <v>0</v>
      </c>
      <c r="AB14" s="18"/>
      <c r="AD14" s="52" t="s">
        <v>9</v>
      </c>
      <c r="AE14" s="56">
        <f ca="1">IFERROR(FORECAST('Carga y Reparto'!AC12, OFFSET(TTHH!AU10,MATCH('Carga y Reparto'!AC12,TTHH!$AT$10:$AT$100,-1)-1,0,2), OFFSET(TTHH!$AT$10,MATCH('Carga y Reparto'!AC12,TTHH!$AT$10:$AT$100,-1)-1,0,2)),0)</f>
        <v>12584.816428142238</v>
      </c>
      <c r="AF14" s="56">
        <v>1.18</v>
      </c>
      <c r="AG14" s="56">
        <f ca="1">IFERROR(AE14/AF14,0)</f>
        <v>10665.098667917151</v>
      </c>
      <c r="AJ14" s="43">
        <v>0</v>
      </c>
      <c r="AK14" s="31">
        <f>IF(SUM(Consumos!$I$9:I13) &gt;= 'Condición Día D'!$AL$7, 0, IF(SUM(Consumos!$I$9:I14) &lt; 'Condición Día D'!$AL$7, Consumos!J14, Consumos!F14 * ('Condición Día D'!$AL$7 - SUM(Consumos!$I$9:I13))))</f>
        <v>0</v>
      </c>
      <c r="AL14" s="6">
        <f>IFERROR(_xlfn.XLOOKUP(AJ14,'Carga y Reparto'!$AD$92:$AD$100,'Carga y Reparto'!$AE$92:$AE$100),0)</f>
        <v>0</v>
      </c>
      <c r="AM14" s="32">
        <f t="shared" si="0"/>
        <v>0</v>
      </c>
      <c r="AN14" s="29" t="str">
        <v>Service Tk 2</v>
      </c>
      <c r="AO14" s="31">
        <v>0</v>
      </c>
      <c r="AP14" s="32" cm="1">
        <f t="array" ref="AP14">IFERROR(_xlfn.XLOOKUP(AN14,_xlfn.ANCHORARRAY($AJ$9),$AK$9:$AK$17),0)</f>
        <v>0</v>
      </c>
      <c r="AQ14" s="32">
        <f t="shared" si="1"/>
        <v>0</v>
      </c>
      <c r="AR14" s="32">
        <v>0.95</v>
      </c>
      <c r="AS14" s="32">
        <f t="shared" si="2"/>
        <v>0</v>
      </c>
    </row>
    <row r="15" spans="6:45" x14ac:dyDescent="0.3">
      <c r="F15" s="52" t="s">
        <v>370</v>
      </c>
      <c r="G15" s="56">
        <f ca="1">AB85/U85</f>
        <v>1.6051820121183669E-2</v>
      </c>
      <c r="I15" s="54" t="s">
        <v>381</v>
      </c>
      <c r="J15" s="41"/>
      <c r="L15" s="29" t="s">
        <v>392</v>
      </c>
      <c r="M15" s="40">
        <f ca="1">IFERROR(M14-G11,"")</f>
        <v>3.7624268077203276</v>
      </c>
      <c r="O15" s="29" t="s">
        <v>396</v>
      </c>
      <c r="P15" s="32">
        <f ca="1">IFERROR(RADIANS(((P14-P13)*(40-M17))/2),"")</f>
        <v>0.58382311979986734</v>
      </c>
      <c r="T15" s="52" t="s">
        <v>10</v>
      </c>
      <c r="U15" s="56">
        <f ca="1"/>
        <v>11154.218715314913</v>
      </c>
      <c r="V15" s="56">
        <f ca="1"/>
        <v>10.52</v>
      </c>
      <c r="W15" s="56">
        <f ca="1">U15*V15</f>
        <v>117342.38088511289</v>
      </c>
      <c r="X15" s="56">
        <f ca="1"/>
        <v>43.26</v>
      </c>
      <c r="Y15" s="56">
        <f ca="1">U15*X15</f>
        <v>482531.50162452314</v>
      </c>
      <c r="Z15" s="52">
        <v>0</v>
      </c>
      <c r="AA15" s="56">
        <f ca="1">U15*Z15</f>
        <v>0</v>
      </c>
      <c r="AB15" s="18"/>
      <c r="AD15" s="52" t="s">
        <v>10</v>
      </c>
      <c r="AE15" s="56">
        <f ca="1">IFERROR(FORECAST('Carga y Reparto'!AC13, OFFSET(TTHH!BB10,MATCH('Carga y Reparto'!AC13,TTHH!$BA$10:$BA$100,-1)-1,0,2), OFFSET(TTHH!$BA$10,MATCH('Carga y Reparto'!AC13,TTHH!$BA$10:$BA$100,-1)-1,0,2)),0)</f>
        <v>688</v>
      </c>
      <c r="AF15" s="56">
        <v>1.1892720000000001</v>
      </c>
      <c r="AG15" s="56">
        <f ca="1">IFERROR(AE15/AF15,0)</f>
        <v>578.50516954910222</v>
      </c>
      <c r="AJ15" s="43">
        <v>0</v>
      </c>
      <c r="AK15" s="31">
        <f>IF(SUM(Consumos!$I$9:I14) &gt;= 'Condición Día D'!$AL$7, 0, IF(SUM(Consumos!$I$9:I15) &lt; 'Condición Día D'!$AL$7, Consumos!J15, Consumos!F15 * ('Condición Día D'!$AL$7 - SUM(Consumos!$I$9:I14))))</f>
        <v>0</v>
      </c>
      <c r="AL15" s="6">
        <f>IFERROR(_xlfn.XLOOKUP(AJ15,'Carga y Reparto'!$AD$92:$AD$100,'Carga y Reparto'!$AE$92:$AE$100),0)</f>
        <v>0</v>
      </c>
      <c r="AM15" s="32">
        <f t="shared" si="0"/>
        <v>0</v>
      </c>
      <c r="AN15" s="29" t="str">
        <v>Settling Tk 1</v>
      </c>
      <c r="AO15" s="31">
        <v>42.94</v>
      </c>
      <c r="AP15" s="32" cm="1">
        <f t="array" ref="AP15">IFERROR(_xlfn.XLOOKUP(AN15,_xlfn.ANCHORARRAY($AJ$9),$AK$9:$AK$17),0)</f>
        <v>0</v>
      </c>
      <c r="AQ15" s="32">
        <f t="shared" si="1"/>
        <v>42.94</v>
      </c>
      <c r="AR15" s="32">
        <v>0.95</v>
      </c>
      <c r="AS15" s="32">
        <f t="shared" si="2"/>
        <v>45.2</v>
      </c>
    </row>
    <row r="16" spans="6:45" x14ac:dyDescent="0.3">
      <c r="F16" s="52" t="s">
        <v>535</v>
      </c>
      <c r="G16" s="26">
        <f ca="1">IFERROR(M15-M12,0)</f>
        <v>3.7463749875991441</v>
      </c>
      <c r="I16" s="52" t="s">
        <v>377</v>
      </c>
      <c r="J16" s="56">
        <f ca="1">IFERROR(AE72,0)</f>
        <v>10.547014648899038</v>
      </c>
      <c r="L16" s="29" t="s">
        <v>397</v>
      </c>
      <c r="M16" s="32">
        <f ca="1">IFERROR(ATAN(AG17/(G10*G16)),"")</f>
        <v>0.16361743375893606</v>
      </c>
      <c r="T16" s="54" t="s">
        <v>19</v>
      </c>
      <c r="U16" s="38"/>
      <c r="V16" s="38"/>
      <c r="W16" s="38"/>
      <c r="X16" s="38"/>
      <c r="Y16" s="38"/>
      <c r="Z16" s="38"/>
      <c r="AA16" s="38"/>
      <c r="AB16" s="38"/>
      <c r="AD16" s="18"/>
      <c r="AE16" s="18"/>
      <c r="AF16" s="18"/>
      <c r="AG16" s="18"/>
      <c r="AJ16" s="43">
        <v>0</v>
      </c>
      <c r="AK16" s="31">
        <f>IF(SUM(Consumos!$I$9:I15) &gt;= 'Condición Día D'!$AL$7, 0, IF(SUM(Consumos!$I$9:I16) &lt; 'Condición Día D'!$AL$7, Consumos!J16, Consumos!F16 * ('Condición Día D'!$AL$7 - SUM(Consumos!$I$9:I15))))</f>
        <v>0</v>
      </c>
      <c r="AL16" s="6">
        <f>IFERROR(_xlfn.XLOOKUP(AJ16,'Carga y Reparto'!$AD$92:$AD$100,'Carga y Reparto'!$AE$92:$AE$100),0)</f>
        <v>0</v>
      </c>
      <c r="AM16" s="32">
        <f t="shared" si="0"/>
        <v>0</v>
      </c>
      <c r="AN16" s="29" t="str">
        <v>Settling Tk 2</v>
      </c>
      <c r="AO16" s="31">
        <v>8.5879999999999992</v>
      </c>
      <c r="AP16" s="32" cm="1">
        <f t="array" ref="AP16">IFERROR(_xlfn.XLOOKUP(AN16,_xlfn.ANCHORARRAY($AJ$9),$AK$9:$AK$17),0)</f>
        <v>0</v>
      </c>
      <c r="AQ16" s="32">
        <f t="shared" si="1"/>
        <v>8.5879999999999992</v>
      </c>
      <c r="AR16" s="32">
        <v>0.95</v>
      </c>
      <c r="AS16" s="32">
        <f t="shared" si="2"/>
        <v>9.0399999999999991</v>
      </c>
    </row>
    <row r="17" spans="6:45" x14ac:dyDescent="0.3">
      <c r="F17" s="52" t="s">
        <v>536</v>
      </c>
      <c r="G17" s="34">
        <f ca="1">M17</f>
        <v>9.3745884091483536</v>
      </c>
      <c r="I17" s="52" t="s">
        <v>378</v>
      </c>
      <c r="J17" s="56">
        <f ca="1">IFERROR(AG72,0)</f>
        <v>10.379751687205401</v>
      </c>
      <c r="L17" s="29" t="s">
        <v>398</v>
      </c>
      <c r="M17" s="32">
        <f ca="1">IFERROR(DEGREES(M16),"")</f>
        <v>9.3745884091483536</v>
      </c>
      <c r="T17" s="52" t="s">
        <v>20</v>
      </c>
      <c r="U17" s="56" cm="1">
        <f t="array" ref="U17:U41">'Condición Salida'!U17:U41</f>
        <v>0</v>
      </c>
      <c r="V17" s="52" cm="1">
        <f t="array" ref="V17:V41">'Condición Salida'!V17:V41</f>
        <v>9.3000000000000007</v>
      </c>
      <c r="W17" s="56">
        <f>U17*V17</f>
        <v>0</v>
      </c>
      <c r="X17" s="52" cm="1">
        <f t="array" ref="X17:X41">'Condición Salida'!X17:X41</f>
        <v>179.02</v>
      </c>
      <c r="Y17" s="56">
        <f t="shared" ref="Y17:Y41" si="3">U17*X17</f>
        <v>0</v>
      </c>
      <c r="Z17" s="52" cm="1">
        <f t="array" ref="Z17:Z41">'Condición Salida'!Z17:Z41</f>
        <v>0</v>
      </c>
      <c r="AA17" s="56">
        <f>U17*Z17</f>
        <v>0</v>
      </c>
      <c r="AB17" s="56" cm="1">
        <f t="array" ref="AB17:AB41">'Condición Salida'!AB17:AB41</f>
        <v>0</v>
      </c>
      <c r="AD17" s="18"/>
      <c r="AE17" s="18"/>
      <c r="AF17" s="52" t="s">
        <v>389</v>
      </c>
      <c r="AG17" s="56">
        <f ca="1">SUM(AG11:AG15)</f>
        <v>32674.746902965373</v>
      </c>
      <c r="AJ17" s="43">
        <v>0</v>
      </c>
      <c r="AK17" s="31">
        <f>IF(SUM(Consumos!$I$9:I16) &gt;= 'Condición Día D'!$AL$7, 0, IF(SUM(Consumos!$I$9:I17) &lt; 'Condición Día D'!$AL$7, Consumos!J17, Consumos!F17 * ('Condición Día D'!$AL$7 - SUM(Consumos!$I$9:I16))))</f>
        <v>0</v>
      </c>
      <c r="AL17" s="6">
        <f>IFERROR(_xlfn.XLOOKUP(AJ17,'Carga y Reparto'!$AD$92:$AD$100,'Carga y Reparto'!$AE$92:$AE$100),0)</f>
        <v>0</v>
      </c>
      <c r="AM17" s="32">
        <f t="shared" si="0"/>
        <v>0</v>
      </c>
      <c r="AN17" s="29" t="str">
        <v>Overflow Tk</v>
      </c>
      <c r="AO17" s="31">
        <v>4.3890000000000002</v>
      </c>
      <c r="AP17" s="32" cm="1">
        <f t="array" ref="AP17">IFERROR(_xlfn.XLOOKUP(AN17,_xlfn.ANCHORARRAY($AJ$9),$AK$9:$AK$17),0)</f>
        <v>0</v>
      </c>
      <c r="AQ17" s="32">
        <f t="shared" si="1"/>
        <v>4.3890000000000002</v>
      </c>
      <c r="AR17" s="32">
        <v>0.95</v>
      </c>
      <c r="AS17" s="32">
        <f t="shared" si="2"/>
        <v>4.62</v>
      </c>
    </row>
    <row r="18" spans="6:45" x14ac:dyDescent="0.3">
      <c r="F18" s="52" t="s">
        <v>537</v>
      </c>
      <c r="G18" s="27">
        <f ca="1">P15</f>
        <v>0.58382311979986734</v>
      </c>
      <c r="I18" s="52" t="s">
        <v>379</v>
      </c>
      <c r="J18" s="56">
        <f ca="1">J14-0.022</f>
        <v>10.463149466192171</v>
      </c>
      <c r="L18" s="29" t="s">
        <v>539</v>
      </c>
      <c r="M18" s="32">
        <f ca="1">IFERROR(FORECAST(G10, OFFSET(TTHH!$J$22,MATCH(G10,TTHH!$K$22:$K$129,1)-1,0,2), OFFSET(TTHH!$K$22,MATCH(G10,TTHH!$K$22:$K$129,1)-1,0,2)),0)</f>
        <v>10.463149466192171</v>
      </c>
      <c r="T18" s="52" t="s">
        <v>21</v>
      </c>
      <c r="U18" s="56">
        <v>0</v>
      </c>
      <c r="V18" s="52">
        <v>0.91</v>
      </c>
      <c r="W18" s="56">
        <f t="shared" ref="W18:W41" si="4">U18*V18</f>
        <v>0</v>
      </c>
      <c r="X18" s="52">
        <v>157.12</v>
      </c>
      <c r="Y18" s="56">
        <f t="shared" si="3"/>
        <v>0</v>
      </c>
      <c r="Z18" s="52">
        <v>-5.15</v>
      </c>
      <c r="AA18" s="56">
        <f t="shared" ref="AA18:AA41" si="5">U18*Z18</f>
        <v>0</v>
      </c>
      <c r="AB18" s="56">
        <v>0</v>
      </c>
      <c r="AJ18" s="29" t="s">
        <v>482</v>
      </c>
      <c r="AK18" s="44">
        <f>SUM(AK9:AK17)</f>
        <v>210</v>
      </c>
      <c r="AL18" s="32">
        <f>IFERROR(AM18/AK18,0)</f>
        <v>17.920000000000002</v>
      </c>
      <c r="AM18" s="32">
        <f>SUM(AM9:AM17)</f>
        <v>3763.2000000000003</v>
      </c>
    </row>
    <row r="19" spans="6:45" x14ac:dyDescent="0.3">
      <c r="T19" s="52" t="s">
        <v>25</v>
      </c>
      <c r="U19" s="56">
        <v>0</v>
      </c>
      <c r="V19" s="52">
        <v>0.91</v>
      </c>
      <c r="W19" s="56">
        <f t="shared" si="4"/>
        <v>0</v>
      </c>
      <c r="X19" s="52">
        <v>157.12</v>
      </c>
      <c r="Y19" s="56">
        <f t="shared" si="3"/>
        <v>0</v>
      </c>
      <c r="Z19" s="52">
        <v>5.15</v>
      </c>
      <c r="AA19" s="56">
        <f t="shared" si="5"/>
        <v>0</v>
      </c>
      <c r="AB19" s="56">
        <v>0</v>
      </c>
      <c r="AP19" s="50"/>
      <c r="AQ19" s="50"/>
    </row>
    <row r="20" spans="6:45" x14ac:dyDescent="0.3">
      <c r="T20" s="52" t="s">
        <v>23</v>
      </c>
      <c r="U20" s="56">
        <v>0</v>
      </c>
      <c r="V20" s="52">
        <v>7.19</v>
      </c>
      <c r="W20" s="56">
        <f t="shared" si="4"/>
        <v>0</v>
      </c>
      <c r="X20" s="52">
        <v>158.83000000000001</v>
      </c>
      <c r="Y20" s="56">
        <f t="shared" si="3"/>
        <v>0</v>
      </c>
      <c r="Z20" s="52">
        <v>-12.75</v>
      </c>
      <c r="AA20" s="56">
        <f t="shared" si="5"/>
        <v>0</v>
      </c>
      <c r="AB20" s="56">
        <v>0</v>
      </c>
    </row>
    <row r="21" spans="6:45" x14ac:dyDescent="0.3">
      <c r="T21" s="52" t="s">
        <v>26</v>
      </c>
      <c r="U21" s="56">
        <v>0</v>
      </c>
      <c r="V21" s="52">
        <v>7.19</v>
      </c>
      <c r="W21" s="56">
        <f t="shared" si="4"/>
        <v>0</v>
      </c>
      <c r="X21" s="52">
        <v>158.83000000000001</v>
      </c>
      <c r="Y21" s="56">
        <f t="shared" si="3"/>
        <v>0</v>
      </c>
      <c r="Z21" s="52">
        <v>12.75</v>
      </c>
      <c r="AA21" s="56">
        <f t="shared" si="5"/>
        <v>0</v>
      </c>
      <c r="AB21" s="56">
        <v>0</v>
      </c>
      <c r="AJ21" s="29" t="s">
        <v>483</v>
      </c>
      <c r="AK21" s="29" t="s">
        <v>99</v>
      </c>
      <c r="AL21" s="29" t="s">
        <v>15</v>
      </c>
      <c r="AM21" s="29" t="s">
        <v>383</v>
      </c>
      <c r="AN21" s="50" cm="1">
        <f t="array" ref="AN21:AO25">Consumos!M20:N24</f>
        <v>0</v>
      </c>
      <c r="AO21" s="29" t="str">
        <v>Cap SAL</v>
      </c>
      <c r="AP21" s="29" t="s">
        <v>524</v>
      </c>
      <c r="AQ21" s="29" t="s">
        <v>525</v>
      </c>
      <c r="AR21" s="29" t="s">
        <v>359</v>
      </c>
      <c r="AS21" s="29" t="s">
        <v>528</v>
      </c>
    </row>
    <row r="22" spans="6:45" x14ac:dyDescent="0.3">
      <c r="T22" s="52" t="s">
        <v>22</v>
      </c>
      <c r="U22" s="56">
        <v>0</v>
      </c>
      <c r="V22" s="52">
        <v>1.24</v>
      </c>
      <c r="W22" s="56">
        <f t="shared" si="4"/>
        <v>0</v>
      </c>
      <c r="X22" s="52">
        <v>132.91</v>
      </c>
      <c r="Y22" s="56">
        <f t="shared" si="3"/>
        <v>0</v>
      </c>
      <c r="Z22" s="52">
        <v>-7.49</v>
      </c>
      <c r="AA22" s="56">
        <f t="shared" si="5"/>
        <v>0</v>
      </c>
      <c r="AB22" s="56">
        <v>0</v>
      </c>
      <c r="AJ22" s="43" t="str" cm="1">
        <f t="array" ref="AJ22:AJ25">Consumos!E21:E24</f>
        <v>Service 1</v>
      </c>
      <c r="AK22" s="43">
        <f>IF(SUM(Consumos!$I$20:I20)&gt;='Condición Día D'!$AL$7, 0, IF(SUM(Consumos!$I$21:I21)&lt;='Condición Día D'!$AL$7, Consumos!J21, Consumos!F21*('Condición Día D'!$AL$7-SUM(Consumos!$I$20:I20))))</f>
        <v>9</v>
      </c>
      <c r="AL22" s="6">
        <f>IFERROR(_xlfn.XLOOKUP(AJ22,'Carga y Reparto'!$AG$92:$AG$95,'Carga y Reparto'!$AH$92:$AH$95),0)</f>
        <v>15.2</v>
      </c>
      <c r="AM22" s="32">
        <f>IFERROR(AK22*AL22,0)</f>
        <v>136.79999999999998</v>
      </c>
      <c r="AN22" s="29" t="str">
        <v>Deep S</v>
      </c>
      <c r="AO22" s="31">
        <v>141.52500000000001</v>
      </c>
      <c r="AP22" s="32" cm="1">
        <f t="array" ref="AP22">IFERROR(_xlfn.XLOOKUP(AN22,_xlfn.ANCHORARRAY($AJ$22),$AK$22:$AK$25),0)</f>
        <v>0</v>
      </c>
      <c r="AQ22" s="32">
        <f>AO22-AP22</f>
        <v>141.52500000000001</v>
      </c>
      <c r="AR22" s="32" cm="1">
        <f t="array" ref="AR22:AR25">'Carga y Reparto'!Q29:Q32</f>
        <v>0.85</v>
      </c>
      <c r="AS22" s="32">
        <f>IFERROR(AQ22/AR22,0)</f>
        <v>166.5</v>
      </c>
    </row>
    <row r="23" spans="6:45" x14ac:dyDescent="0.3">
      <c r="T23" s="52" t="s">
        <v>31</v>
      </c>
      <c r="U23" s="56">
        <v>0</v>
      </c>
      <c r="V23" s="52">
        <v>1.24</v>
      </c>
      <c r="W23" s="56">
        <f t="shared" si="4"/>
        <v>0</v>
      </c>
      <c r="X23" s="52">
        <v>132.91</v>
      </c>
      <c r="Y23" s="56">
        <f t="shared" si="3"/>
        <v>0</v>
      </c>
      <c r="Z23" s="52">
        <v>7.49</v>
      </c>
      <c r="AA23" s="56">
        <f t="shared" si="5"/>
        <v>0</v>
      </c>
      <c r="AB23" s="56">
        <v>0</v>
      </c>
      <c r="AJ23" s="43" t="str">
        <v>Service 2</v>
      </c>
      <c r="AK23" s="43">
        <f>IF(SUM(Consumos!$I$20:I21)&gt;='Condición Día D'!$AL$7, 0, IF(SUM(Consumos!$I$21:I22)&lt;='Condición Día D'!$AL$7, Consumos!J22, Consumos!F22*('Condición Día D'!$AL$7-SUM(Consumos!$I$20:I21))))</f>
        <v>12</v>
      </c>
      <c r="AL23" s="6">
        <f>IFERROR(_xlfn.XLOOKUP(AJ23,'Carga y Reparto'!$AG$92:$AG$95,'Carga y Reparto'!$AH$92:$AH$95),0)</f>
        <v>12</v>
      </c>
      <c r="AM23" s="32">
        <f>IFERROR(AK23*AL23,0)</f>
        <v>144</v>
      </c>
      <c r="AN23" s="29" t="str">
        <v>Service 1</v>
      </c>
      <c r="AO23" s="31">
        <v>12.486499999999999</v>
      </c>
      <c r="AP23" s="32" cm="1">
        <f t="array" ref="AP23">IFERROR(_xlfn.XLOOKUP(AN23,_xlfn.ANCHORARRAY($AJ$22),$AK$22:$AK$25),0)</f>
        <v>9</v>
      </c>
      <c r="AQ23" s="32">
        <f>AO23-AP23</f>
        <v>3.4864999999999995</v>
      </c>
      <c r="AR23" s="32">
        <v>0.85</v>
      </c>
      <c r="AS23" s="32">
        <f>IFERROR(AQ23/AR23,0)</f>
        <v>4.1017647058823528</v>
      </c>
    </row>
    <row r="24" spans="6:45" x14ac:dyDescent="0.3">
      <c r="F24" s="52" t="s">
        <v>542</v>
      </c>
      <c r="G24" s="56">
        <f ca="1">IFERROR(L40,0)</f>
        <v>2.2575226756642355</v>
      </c>
      <c r="T24" s="52" t="s">
        <v>24</v>
      </c>
      <c r="U24" s="56">
        <v>248.53474</v>
      </c>
      <c r="V24" s="52">
        <v>8.9</v>
      </c>
      <c r="W24" s="56">
        <f t="shared" si="4"/>
        <v>2211.959186</v>
      </c>
      <c r="X24" s="52">
        <v>130.6</v>
      </c>
      <c r="Y24" s="56">
        <f t="shared" si="3"/>
        <v>32458.637043999999</v>
      </c>
      <c r="Z24" s="52">
        <v>-14.86</v>
      </c>
      <c r="AA24" s="56">
        <f t="shared" si="5"/>
        <v>-3693.2262363999998</v>
      </c>
      <c r="AB24" s="56">
        <v>90</v>
      </c>
      <c r="AJ24" s="43" t="str">
        <v>Deep S</v>
      </c>
      <c r="AK24" s="43">
        <f>IF(SUM(Consumos!$I$20:I22)&gt;='Condición Día D'!$AL$7, 0, IF(SUM(Consumos!$I$21:I23)&lt;='Condición Día D'!$AL$7, Consumos!J23, Consumos!F23*('Condición Día D'!$AL$7-SUM(Consumos!$I$20:I22))))</f>
        <v>0</v>
      </c>
      <c r="AL24" s="6">
        <f>IFERROR(_xlfn.XLOOKUP(AJ24,'Carga y Reparto'!$AG$92:$AG$95,'Carga y Reparto'!$AH$92:$AH$95),0)</f>
        <v>14.2</v>
      </c>
      <c r="AM24" s="32">
        <f>IFERROR(AK24*AL24,0)</f>
        <v>0</v>
      </c>
      <c r="AN24" s="29" t="str">
        <v>Service 2</v>
      </c>
      <c r="AO24" s="31">
        <v>19.662000000000003</v>
      </c>
      <c r="AP24" s="32" cm="1">
        <f t="array" ref="AP24">IFERROR(_xlfn.XLOOKUP(AN24,_xlfn.ANCHORARRAY($AJ$22),$AK$22:$AK$25),0)</f>
        <v>12</v>
      </c>
      <c r="AQ24" s="32">
        <f>AO24-AP24</f>
        <v>7.6620000000000026</v>
      </c>
      <c r="AR24" s="32">
        <v>0.87</v>
      </c>
      <c r="AS24" s="32">
        <f>IFERROR(AQ24/AR24,0)</f>
        <v>8.8068965517241402</v>
      </c>
    </row>
    <row r="25" spans="6:45" x14ac:dyDescent="0.3">
      <c r="F25" s="52" t="s">
        <v>543</v>
      </c>
      <c r="G25" s="56" cm="1">
        <f t="array" aca="1" ref="G25" ca="1">IFERROR(INDEX(G36:P36,,MATCH(MAX(G40:P40),G40:P40,0)),0)</f>
        <v>50</v>
      </c>
      <c r="T25" s="52" t="s">
        <v>32</v>
      </c>
      <c r="U25" s="56">
        <v>0</v>
      </c>
      <c r="V25" s="52">
        <v>8.9</v>
      </c>
      <c r="W25" s="56">
        <f t="shared" si="4"/>
        <v>0</v>
      </c>
      <c r="X25" s="52">
        <v>130.6</v>
      </c>
      <c r="Y25" s="56">
        <f t="shared" si="3"/>
        <v>0</v>
      </c>
      <c r="Z25" s="52">
        <v>14.86</v>
      </c>
      <c r="AA25" s="56">
        <f t="shared" si="5"/>
        <v>0</v>
      </c>
      <c r="AB25" s="56">
        <v>0</v>
      </c>
      <c r="AJ25" s="43">
        <v>0</v>
      </c>
      <c r="AK25" s="43">
        <f>IF(SUM(Consumos!$I$20:I23)&gt;='Condición Día D'!$AL$7, 0, IF(SUM(Consumos!$I$21:I24)&lt;='Condición Día D'!$AL$7, Consumos!J24, Consumos!F24*('Condición Día D'!$AL$7-SUM(Consumos!$I$20:I23))))</f>
        <v>0</v>
      </c>
      <c r="AL25" s="6">
        <f>IFERROR(_xlfn.XLOOKUP(AJ25,'Carga y Reparto'!$AG$92:$AG$95,'Carga y Reparto'!$AH$92:$AH$95),0)</f>
        <v>0</v>
      </c>
      <c r="AM25" s="32">
        <f>IFERROR(AK25*AL25,0)</f>
        <v>0</v>
      </c>
      <c r="AN25" s="29" t="str">
        <v>Settling</v>
      </c>
      <c r="AO25" s="31">
        <v>3.4578000000000002</v>
      </c>
      <c r="AP25" s="32" cm="1">
        <f t="array" ref="AP25">IFERROR(_xlfn.XLOOKUP(AN25,_xlfn.ANCHORARRAY($AJ$22),$AK$22:$AK$25),0)</f>
        <v>0</v>
      </c>
      <c r="AQ25" s="32">
        <f>AO25-AP25</f>
        <v>3.4578000000000002</v>
      </c>
      <c r="AR25" s="32">
        <v>0.85</v>
      </c>
      <c r="AS25" s="32">
        <f>IFERROR(AQ25/AR25,0)</f>
        <v>4.0680000000000005</v>
      </c>
    </row>
    <row r="26" spans="6:45" x14ac:dyDescent="0.3">
      <c r="F26" s="52" t="s">
        <v>544</v>
      </c>
      <c r="G26" s="56" cm="1">
        <f t="array" aca="1" ref="G26:G28" ca="1">IFERROR(G54:G56,0)</f>
        <v>0.5032716524349149</v>
      </c>
      <c r="T26" s="52" t="s">
        <v>33</v>
      </c>
      <c r="U26" s="56">
        <v>0</v>
      </c>
      <c r="V26" s="52">
        <v>1.24</v>
      </c>
      <c r="W26" s="56">
        <f t="shared" si="4"/>
        <v>0</v>
      </c>
      <c r="X26" s="52">
        <v>104.11</v>
      </c>
      <c r="Y26" s="56">
        <f t="shared" si="3"/>
        <v>0</v>
      </c>
      <c r="Z26" s="52">
        <v>-7.49</v>
      </c>
      <c r="AA26" s="56">
        <f t="shared" si="5"/>
        <v>0</v>
      </c>
      <c r="AB26" s="56">
        <v>0</v>
      </c>
      <c r="AJ26" s="29" t="s">
        <v>483</v>
      </c>
      <c r="AK26" s="32">
        <f>SUM(_xlfn.ANCHORARRAY('Condición Día D'!AK22))</f>
        <v>9</v>
      </c>
      <c r="AL26" s="32">
        <f>IFERROR(AM26/AK26,0)</f>
        <v>31.199999999999996</v>
      </c>
      <c r="AM26" s="32">
        <f>SUM('Condición Día D'!AM22:AM25)</f>
        <v>280.79999999999995</v>
      </c>
    </row>
    <row r="27" spans="6:45" x14ac:dyDescent="0.3">
      <c r="F27" s="52" t="s">
        <v>545</v>
      </c>
      <c r="G27" s="56">
        <f ca="1"/>
        <v>0.34061239081600164</v>
      </c>
      <c r="T27" s="52" t="s">
        <v>34</v>
      </c>
      <c r="U27" s="56">
        <v>0</v>
      </c>
      <c r="V27" s="52">
        <v>1.24</v>
      </c>
      <c r="W27" s="56">
        <f t="shared" si="4"/>
        <v>0</v>
      </c>
      <c r="X27" s="52">
        <v>104.11</v>
      </c>
      <c r="Y27" s="56">
        <f t="shared" si="3"/>
        <v>0</v>
      </c>
      <c r="Z27" s="52">
        <v>7.49</v>
      </c>
      <c r="AA27" s="56">
        <f t="shared" si="5"/>
        <v>0</v>
      </c>
      <c r="AB27" s="56">
        <v>0</v>
      </c>
    </row>
    <row r="28" spans="6:45" x14ac:dyDescent="0.3">
      <c r="F28" s="52" t="s">
        <v>546</v>
      </c>
      <c r="G28" s="56">
        <f ca="1"/>
        <v>0.58120935239157656</v>
      </c>
      <c r="T28" s="52" t="s">
        <v>35</v>
      </c>
      <c r="U28" s="56">
        <v>0</v>
      </c>
      <c r="V28" s="52">
        <v>8.89</v>
      </c>
      <c r="W28" s="56">
        <f t="shared" si="4"/>
        <v>0</v>
      </c>
      <c r="X28" s="52">
        <v>101.82</v>
      </c>
      <c r="Y28" s="56">
        <f t="shared" si="3"/>
        <v>0</v>
      </c>
      <c r="Z28" s="52">
        <v>-14.86</v>
      </c>
      <c r="AA28" s="56">
        <f t="shared" si="5"/>
        <v>0</v>
      </c>
      <c r="AB28" s="56">
        <v>0</v>
      </c>
    </row>
    <row r="29" spans="6:45" x14ac:dyDescent="0.3">
      <c r="T29" s="52" t="s">
        <v>36</v>
      </c>
      <c r="U29" s="56">
        <v>0</v>
      </c>
      <c r="V29" s="52">
        <v>8.89</v>
      </c>
      <c r="W29" s="56">
        <f t="shared" si="4"/>
        <v>0</v>
      </c>
      <c r="X29" s="52">
        <v>101.82</v>
      </c>
      <c r="Y29" s="56">
        <f t="shared" si="3"/>
        <v>0</v>
      </c>
      <c r="Z29" s="52">
        <v>14.86</v>
      </c>
      <c r="AA29" s="56">
        <f t="shared" si="5"/>
        <v>0</v>
      </c>
      <c r="AB29" s="56">
        <v>0</v>
      </c>
      <c r="AJ29" s="29" t="s">
        <v>485</v>
      </c>
      <c r="AK29" s="29" t="s">
        <v>99</v>
      </c>
      <c r="AL29" s="29" t="s">
        <v>15</v>
      </c>
      <c r="AM29" s="29" t="s">
        <v>383</v>
      </c>
      <c r="AN29" s="50" cm="1">
        <f t="array" ref="AN29:AO39">Consumos!X8:Y18</f>
        <v>0</v>
      </c>
      <c r="AO29" s="29" t="str">
        <v>Cap SAL</v>
      </c>
      <c r="AP29" s="29" t="s">
        <v>524</v>
      </c>
      <c r="AQ29" s="29" t="s">
        <v>525</v>
      </c>
      <c r="AR29" s="29" t="s">
        <v>359</v>
      </c>
      <c r="AS29" s="29" t="s">
        <v>528</v>
      </c>
    </row>
    <row r="30" spans="6:45" x14ac:dyDescent="0.3">
      <c r="T30" s="52" t="s">
        <v>37</v>
      </c>
      <c r="U30" s="56">
        <v>0</v>
      </c>
      <c r="V30" s="52">
        <v>1.24</v>
      </c>
      <c r="W30" s="56">
        <f t="shared" si="4"/>
        <v>0</v>
      </c>
      <c r="X30" s="52">
        <v>75.31</v>
      </c>
      <c r="Y30" s="56">
        <f t="shared" si="3"/>
        <v>0</v>
      </c>
      <c r="Z30" s="52">
        <v>-7.49</v>
      </c>
      <c r="AA30" s="56">
        <f t="shared" si="5"/>
        <v>0</v>
      </c>
      <c r="AB30" s="56">
        <v>0</v>
      </c>
      <c r="AJ30" s="43" t="str" cm="1">
        <f t="array" ref="AJ30:AJ39">Consumos!P9:P18</f>
        <v>Cyl 1</v>
      </c>
      <c r="AK30" s="43">
        <f>IF(SUM(Consumos!$T$8:T8)&gt;='Condición Día D'!$AL$7, 0, IF(SUM(Consumos!$T$9:T9)&lt;='Condición Día D'!$AL$7, Consumos!U9, Consumos!Q9*('Condición Día D'!$AL$7-SUM(Consumos!$T$8:T8))))</f>
        <v>7</v>
      </c>
      <c r="AL30" s="6">
        <f>IFERROR(_xlfn.XLOOKUP(AJ30,'Carga y Reparto'!$AJ$92:$AJ$101,'Carga y Reparto'!$AK$92:$AK$101),0)</f>
        <v>8.4</v>
      </c>
      <c r="AM30" s="32">
        <f t="shared" ref="AM30:AM39" si="6">IFERROR(AK30*AL30,0)</f>
        <v>58.800000000000004</v>
      </c>
      <c r="AN30" s="29" t="str">
        <v>Store 1</v>
      </c>
      <c r="AO30" s="31">
        <v>17.100000000000001</v>
      </c>
      <c r="AP30" s="32" cm="1">
        <f t="array" ref="AP30">IFERROR(_xlfn.XLOOKUP(AN30,_xlfn.ANCHORARRAY($AJ$30),$AK$30:$AK$39),0)</f>
        <v>0</v>
      </c>
      <c r="AQ30" s="32">
        <f>AO30-AP30</f>
        <v>17.100000000000001</v>
      </c>
      <c r="AR30" s="32" cm="1">
        <f t="array" ref="AR30:AR39">'Carga y Reparto'!Q63:Q72</f>
        <v>1</v>
      </c>
      <c r="AS30" s="32">
        <f>IFERROR(AQ30/AR30,0)</f>
        <v>17.100000000000001</v>
      </c>
    </row>
    <row r="31" spans="6:45" x14ac:dyDescent="0.3">
      <c r="T31" s="52" t="s">
        <v>38</v>
      </c>
      <c r="U31" s="56">
        <v>0</v>
      </c>
      <c r="V31" s="52">
        <v>1.24</v>
      </c>
      <c r="W31" s="56">
        <f t="shared" si="4"/>
        <v>0</v>
      </c>
      <c r="X31" s="52">
        <v>75.31</v>
      </c>
      <c r="Y31" s="56">
        <f t="shared" si="3"/>
        <v>0</v>
      </c>
      <c r="Z31" s="52">
        <v>7.49</v>
      </c>
      <c r="AA31" s="56">
        <f t="shared" si="5"/>
        <v>0</v>
      </c>
      <c r="AB31" s="56">
        <v>0</v>
      </c>
      <c r="AJ31" s="43" t="str">
        <v>Cyl 2</v>
      </c>
      <c r="AK31" s="43">
        <f>IF(SUM(Consumos!$T$8:T9)&gt;='Condición Día D'!$AL$7, 0, IF(SUM(Consumos!$T$9:T10)&lt;='Condición Día D'!$AL$7, Consumos!U10, Consumos!Q10*('Condición Día D'!$AL$7-SUM(Consumos!$T$8:T9))))</f>
        <v>0</v>
      </c>
      <c r="AL31" s="6">
        <f>IFERROR(_xlfn.XLOOKUP(AJ31,'Carga y Reparto'!$AJ$92:$AJ$101,'Carga y Reparto'!$AK$92:$AK$101),0)</f>
        <v>9.6199999999999992</v>
      </c>
      <c r="AM31" s="32">
        <f t="shared" si="6"/>
        <v>0</v>
      </c>
      <c r="AN31" s="29" t="str">
        <v>Store 2</v>
      </c>
      <c r="AO31" s="31">
        <v>16.829999999999998</v>
      </c>
      <c r="AP31" s="32" cm="1">
        <f t="array" ref="AP31">IFERROR(_xlfn.XLOOKUP(AN31,_xlfn.ANCHORARRAY($AJ$30),$AK$30:$AK$39),0)</f>
        <v>0</v>
      </c>
      <c r="AQ31" s="32">
        <f t="shared" ref="AQ31:AQ39" si="7">AO31-AP31</f>
        <v>16.829999999999998</v>
      </c>
      <c r="AR31" s="32">
        <v>0.9</v>
      </c>
      <c r="AS31" s="32">
        <f t="shared" ref="AS31:AS39" si="8">IFERROR(AQ31/AR31,0)</f>
        <v>18.7</v>
      </c>
    </row>
    <row r="32" spans="6:45" x14ac:dyDescent="0.3">
      <c r="T32" s="52" t="s">
        <v>39</v>
      </c>
      <c r="U32" s="56">
        <v>0</v>
      </c>
      <c r="V32" s="52">
        <v>8.98</v>
      </c>
      <c r="W32" s="56">
        <f t="shared" si="4"/>
        <v>0</v>
      </c>
      <c r="X32" s="52">
        <v>73.13</v>
      </c>
      <c r="Y32" s="56">
        <f t="shared" si="3"/>
        <v>0</v>
      </c>
      <c r="Z32" s="52">
        <v>-14.85</v>
      </c>
      <c r="AA32" s="56">
        <f t="shared" si="5"/>
        <v>0</v>
      </c>
      <c r="AB32" s="56">
        <v>0</v>
      </c>
      <c r="AJ32" s="43" t="str">
        <v>Store 1</v>
      </c>
      <c r="AK32" s="43">
        <f>IF(SUM(Consumos!$T$8:T10)&gt;='Condición Día D'!$AL$7, 0, IF(SUM(Consumos!$T$9:T11)&lt;='Condición Día D'!$AL$7, Consumos!U11, Consumos!Q11*('Condición Día D'!$AL$7-SUM(Consumos!$T$8:T10))))</f>
        <v>0</v>
      </c>
      <c r="AL32" s="6">
        <f>IFERROR(_xlfn.XLOOKUP(AJ32,'Carga y Reparto'!$AJ$92:$AJ$101,'Carga y Reparto'!$AK$92:$AK$101),0)</f>
        <v>6.81</v>
      </c>
      <c r="AM32" s="32">
        <f t="shared" si="6"/>
        <v>0</v>
      </c>
      <c r="AN32" s="29" t="str">
        <v>Cyl 1</v>
      </c>
      <c r="AO32" s="31">
        <v>18.18</v>
      </c>
      <c r="AP32" s="32" cm="1">
        <f t="array" ref="AP32">IFERROR(_xlfn.XLOOKUP(AN32,_xlfn.ANCHORARRAY($AJ$30),$AK$30:$AK$39),0)</f>
        <v>7</v>
      </c>
      <c r="AQ32" s="32">
        <f t="shared" si="7"/>
        <v>11.18</v>
      </c>
      <c r="AR32" s="32">
        <v>0.9</v>
      </c>
      <c r="AS32" s="32">
        <f t="shared" si="8"/>
        <v>12.422222222222221</v>
      </c>
    </row>
    <row r="33" spans="6:45" x14ac:dyDescent="0.3">
      <c r="T33" s="52" t="s">
        <v>40</v>
      </c>
      <c r="U33" s="56">
        <v>0</v>
      </c>
      <c r="V33" s="52">
        <v>8.98</v>
      </c>
      <c r="W33" s="56">
        <f t="shared" si="4"/>
        <v>0</v>
      </c>
      <c r="X33" s="52">
        <v>73.13</v>
      </c>
      <c r="Y33" s="56">
        <f t="shared" si="3"/>
        <v>0</v>
      </c>
      <c r="Z33" s="52">
        <v>14.85</v>
      </c>
      <c r="AA33" s="56">
        <f t="shared" si="5"/>
        <v>0</v>
      </c>
      <c r="AB33" s="56">
        <v>0</v>
      </c>
      <c r="AJ33" s="43">
        <v>0</v>
      </c>
      <c r="AK33" s="43">
        <f>IF(SUM(Consumos!$T$8:T11)&gt;='Condición Día D'!$AL$7, 0, IF(SUM(Consumos!$T$9:T12)&lt;='Condición Día D'!$AL$7, Consumos!U12, Consumos!Q12*('Condición Día D'!$AL$7-SUM(Consumos!$T$8:T11))))</f>
        <v>0</v>
      </c>
      <c r="AL33" s="6">
        <f>IFERROR(_xlfn.XLOOKUP(AJ33,'Carga y Reparto'!$AJ$92:$AJ$101,'Carga y Reparto'!$AK$92:$AK$101),0)</f>
        <v>0</v>
      </c>
      <c r="AM33" s="32">
        <f t="shared" si="6"/>
        <v>0</v>
      </c>
      <c r="AN33" s="29" t="str">
        <v>Cyl 2</v>
      </c>
      <c r="AO33" s="31">
        <v>39.96</v>
      </c>
      <c r="AP33" s="32" cm="1">
        <f t="array" ref="AP33">IFERROR(_xlfn.XLOOKUP(AN33,_xlfn.ANCHORARRAY($AJ$30),$AK$30:$AK$39),0)</f>
        <v>0</v>
      </c>
      <c r="AQ33" s="32">
        <f t="shared" si="7"/>
        <v>39.96</v>
      </c>
      <c r="AR33" s="32">
        <v>0.9</v>
      </c>
      <c r="AS33" s="32">
        <f t="shared" si="8"/>
        <v>44.4</v>
      </c>
    </row>
    <row r="34" spans="6:45" x14ac:dyDescent="0.3">
      <c r="T34" s="52" t="s">
        <v>41</v>
      </c>
      <c r="U34" s="56">
        <v>0</v>
      </c>
      <c r="V34" s="52">
        <v>1.38</v>
      </c>
      <c r="W34" s="56">
        <f t="shared" si="4"/>
        <v>0</v>
      </c>
      <c r="X34" s="52">
        <v>49.43</v>
      </c>
      <c r="Y34" s="56">
        <f t="shared" si="3"/>
        <v>0</v>
      </c>
      <c r="Z34" s="52">
        <v>-6.38</v>
      </c>
      <c r="AA34" s="56">
        <f t="shared" si="5"/>
        <v>0</v>
      </c>
      <c r="AB34" s="56">
        <v>0</v>
      </c>
      <c r="AJ34" s="43">
        <v>0</v>
      </c>
      <c r="AK34" s="43">
        <f>IF(SUM(Consumos!$T$8:T12)&gt;='Condición Día D'!$AL$7, 0, IF(SUM(Consumos!$T$9:T13)&lt;='Condición Día D'!$AL$7, Consumos!U13, Consumos!Q13*('Condición Día D'!$AL$7-SUM(Consumos!$T$8:T12))))</f>
        <v>0</v>
      </c>
      <c r="AL34" s="6">
        <f>IFERROR(_xlfn.XLOOKUP(AJ34,'Carga y Reparto'!$AJ$92:$AJ$101,'Carga y Reparto'!$AK$92:$AK$101),0)</f>
        <v>0</v>
      </c>
      <c r="AM34" s="32">
        <f t="shared" si="6"/>
        <v>0</v>
      </c>
      <c r="AN34" s="29" t="str">
        <v xml:space="preserve">Sump </v>
      </c>
      <c r="AO34" s="31">
        <v>0</v>
      </c>
      <c r="AP34" s="32" cm="1">
        <f t="array" ref="AP34">IFERROR(_xlfn.XLOOKUP(AN34,_xlfn.ANCHORARRAY($AJ$30),$AK$30:$AK$39),0)</f>
        <v>0</v>
      </c>
      <c r="AQ34" s="32">
        <f t="shared" si="7"/>
        <v>0</v>
      </c>
      <c r="AR34" s="32">
        <v>0.9</v>
      </c>
      <c r="AS34" s="32">
        <f t="shared" si="8"/>
        <v>0</v>
      </c>
    </row>
    <row r="35" spans="6:45" x14ac:dyDescent="0.3">
      <c r="T35" s="52" t="s">
        <v>42</v>
      </c>
      <c r="U35" s="56">
        <v>0</v>
      </c>
      <c r="V35" s="52">
        <v>1.38</v>
      </c>
      <c r="W35" s="56">
        <f t="shared" si="4"/>
        <v>0</v>
      </c>
      <c r="X35" s="52">
        <v>49.43</v>
      </c>
      <c r="Y35" s="56">
        <f t="shared" si="3"/>
        <v>0</v>
      </c>
      <c r="Z35" s="52">
        <v>6.38</v>
      </c>
      <c r="AA35" s="56">
        <f t="shared" si="5"/>
        <v>0</v>
      </c>
      <c r="AB35" s="56">
        <v>0</v>
      </c>
      <c r="AJ35" s="43">
        <v>0</v>
      </c>
      <c r="AK35" s="43">
        <f>IF(SUM(Consumos!$T$8:T13)&gt;='Condición Día D'!$AL$7, 0, IF(SUM(Consumos!$T$9:T14)&lt;='Condición Día D'!$AL$7, Consumos!U14, Consumos!Q14*('Condición Día D'!$AL$7-SUM(Consumos!$T$8:T13))))</f>
        <v>0</v>
      </c>
      <c r="AL35" s="6">
        <f>IFERROR(_xlfn.XLOOKUP(AJ35,'Carga y Reparto'!$AJ$92:$AJ$101,'Carga y Reparto'!$AK$92:$AK$101),0)</f>
        <v>0</v>
      </c>
      <c r="AM35" s="32">
        <f t="shared" si="6"/>
        <v>0</v>
      </c>
      <c r="AN35" s="29" t="str">
        <v>A/E 1</v>
      </c>
      <c r="AO35" s="31">
        <v>0</v>
      </c>
      <c r="AP35" s="32" cm="1">
        <f t="array" ref="AP35">IFERROR(_xlfn.XLOOKUP(AN35,_xlfn.ANCHORARRAY($AJ$30),$AK$30:$AK$39),0)</f>
        <v>0</v>
      </c>
      <c r="AQ35" s="32">
        <f t="shared" si="7"/>
        <v>0</v>
      </c>
      <c r="AR35" s="32">
        <v>0.9</v>
      </c>
      <c r="AS35" s="32">
        <f t="shared" si="8"/>
        <v>0</v>
      </c>
    </row>
    <row r="36" spans="6:45" x14ac:dyDescent="0.3">
      <c r="F36" s="29" t="s">
        <v>547</v>
      </c>
      <c r="G36" s="29">
        <v>0</v>
      </c>
      <c r="H36" s="29">
        <v>5</v>
      </c>
      <c r="I36" s="29">
        <v>10</v>
      </c>
      <c r="J36" s="29">
        <v>12</v>
      </c>
      <c r="K36" s="29">
        <v>20</v>
      </c>
      <c r="L36" s="29">
        <v>30</v>
      </c>
      <c r="M36" s="29">
        <v>40</v>
      </c>
      <c r="N36" s="29">
        <v>50</v>
      </c>
      <c r="O36" s="29">
        <v>60</v>
      </c>
      <c r="P36" s="29">
        <v>75</v>
      </c>
      <c r="T36" s="52" t="s">
        <v>43</v>
      </c>
      <c r="U36" s="56">
        <v>0</v>
      </c>
      <c r="V36" s="52">
        <v>5.76</v>
      </c>
      <c r="W36" s="56">
        <f t="shared" si="4"/>
        <v>0</v>
      </c>
      <c r="X36" s="52">
        <v>41</v>
      </c>
      <c r="Y36" s="56">
        <f t="shared" si="3"/>
        <v>0</v>
      </c>
      <c r="Z36" s="52">
        <v>-12.97</v>
      </c>
      <c r="AA36" s="56">
        <f t="shared" si="5"/>
        <v>0</v>
      </c>
      <c r="AB36" s="56">
        <v>0</v>
      </c>
      <c r="AJ36" s="43">
        <v>0</v>
      </c>
      <c r="AK36" s="43">
        <f>IF(SUM(Consumos!$T$8:T14)&gt;='Condición Día D'!$AL$7, 0, IF(SUM(Consumos!$T$9:T15)&lt;='Condición Día D'!$AL$7, Consumos!U15, Consumos!Q15*('Condición Día D'!$AL$7-SUM(Consumos!$T$8:T14))))</f>
        <v>0</v>
      </c>
      <c r="AL36" s="6">
        <f>IFERROR(_xlfn.XLOOKUP(AJ36,'Carga y Reparto'!$AJ$92:$AJ$101,'Carga y Reparto'!$AK$92:$AK$101),0)</f>
        <v>0</v>
      </c>
      <c r="AM36" s="32">
        <f t="shared" si="6"/>
        <v>0</v>
      </c>
      <c r="AN36" s="29" t="str">
        <v>A/E 2</v>
      </c>
      <c r="AO36" s="31">
        <v>0</v>
      </c>
      <c r="AP36" s="32" cm="1">
        <f t="array" ref="AP36">IFERROR(_xlfn.XLOOKUP(AN36,_xlfn.ANCHORARRAY($AJ$30),$AK$30:$AK$39),0)</f>
        <v>0</v>
      </c>
      <c r="AQ36" s="32">
        <f t="shared" si="7"/>
        <v>0</v>
      </c>
      <c r="AR36" s="32">
        <v>0.9</v>
      </c>
      <c r="AS36" s="32">
        <f t="shared" si="8"/>
        <v>0</v>
      </c>
    </row>
    <row r="37" spans="6:45" x14ac:dyDescent="0.3">
      <c r="F37" s="29" t="s">
        <v>390</v>
      </c>
      <c r="G37" s="32">
        <v>0</v>
      </c>
      <c r="H37" s="32">
        <f ca="1">IFERROR(FORECAST(M18, OFFSET(TTHH!CM10, MATCH(M18,Tabla4[[#All],[Columna1]],1)-1, 0, 2), OFFSET(TTHH!CL10, MATCH(M18,Tabla4[[#All],[Columna1]],1)-1, 0, 2)),"")</f>
        <v>1.2077370106761569</v>
      </c>
      <c r="I37" s="32">
        <f ca="1">IFERROR(FORECAST(M18, OFFSET(TTHH!CN10, MATCH(M18,Tabla4[[#All],[Columna1]],1)-1, 0, 2), OFFSET(TTHH!CL10, MATCH(M18,Tabla4[[#All],[Columna1]],1)-1, 0, 2)),"")</f>
        <v>2.426474021352313</v>
      </c>
      <c r="J37" s="32">
        <f ca="1">IFERROR(FORECAST(M18, OFFSET(TTHH!CO10, MATCH(M18,Tabla4[[#All],[Columna1]],1)-1, 0, 2), OFFSET(TTHH!CL10, MATCH(M18,Tabla4[[#All],[Columna1]],1)-1, 0, 2)),"")</f>
        <v>2.9168425266903917</v>
      </c>
      <c r="K37" s="32">
        <f ca="1">IFERROR(FORECAST(M18, OFFSET(TTHH!CP10, MATCH(M18,Tabla4[[#All],[Columna1]],1)-1, 0, 2), OFFSET(TTHH!$CL$10, MATCH(M18,Tabla4[[#All],[Columna1]],1)-1, 0, 2)),"")</f>
        <v>4.9133165480427046</v>
      </c>
      <c r="L37" s="32">
        <f ca="1">IFERROR(FORECAST(M18, OFFSET(TTHH!CQ10, MATCH(M18,Tabla4[[#All],[Columna1]],1)-1, 0, 2), OFFSET(TTHH!$CL$10, MATCH(M18,Tabla4[[#All],[Columna1]],1)-1, 0, 2)),"")</f>
        <v>7.3640551601423496</v>
      </c>
      <c r="M37" s="32">
        <f ca="1">IFERROR(FORECAST(M18, OFFSET(TTHH!CR10, MATCH(M18,Tabla4[[#All],[Columna1]],1)-1, 0, 2), OFFSET(TTHH!$CL$10, MATCH(M18,Tabla4[[#All],[Columna1]],1)-1, 0, 2)),"")</f>
        <v>9.2316866548042711</v>
      </c>
      <c r="N37" s="32">
        <f ca="1">IFERROR(FORECAST(M18, OFFSET(TTHH!CS10, MATCH(M18,Tabla4[[#All],[Columna1]],1)-1, 0, 2), OFFSET(TTHH!$CL$10, MATCH(M18,Tabla4[[#All],[Columna1]],1)-1, 0, 2)),"")</f>
        <v>10.492581138790037</v>
      </c>
      <c r="O37" s="32">
        <f ca="1">IFERROR(FORECAST(M18, OFFSET(TTHH!CT10, MATCH(M18,Tabla4[[#All],[Columna1]],1)-1, 0, 2), OFFSET(TTHH!$CL$10, MATCH(M18,Tabla4[[#All],[Columna1]],1)-1, 0, 2)),"")</f>
        <v>11.105475622775801</v>
      </c>
      <c r="P37" s="32">
        <f ca="1">IFERROR(FORECAST(M18, OFFSET(TTHH!CU10, MATCH(M18,Tabla4[[#All],[Columna1]],1)-1, 0, 2), OFFSET(TTHH!$CL$10, MATCH(M18,Tabla4[[#All],[Columna1]],1)-1, 0, 2)),"")</f>
        <v>11.109790569395017</v>
      </c>
      <c r="T37" s="52" t="s">
        <v>44</v>
      </c>
      <c r="U37" s="56">
        <v>0</v>
      </c>
      <c r="V37" s="52">
        <v>5.76</v>
      </c>
      <c r="W37" s="56">
        <f t="shared" si="4"/>
        <v>0</v>
      </c>
      <c r="X37" s="52">
        <v>41</v>
      </c>
      <c r="Y37" s="56">
        <f t="shared" si="3"/>
        <v>0</v>
      </c>
      <c r="Z37" s="52">
        <v>12.97</v>
      </c>
      <c r="AA37" s="56">
        <f t="shared" si="5"/>
        <v>0</v>
      </c>
      <c r="AB37" s="56">
        <v>0</v>
      </c>
      <c r="AJ37" s="43">
        <v>0</v>
      </c>
      <c r="AK37" s="43">
        <f>IF(SUM(Consumos!$T$8:T15)&gt;='Condición Día D'!$AL$7, 0, IF(SUM(Consumos!$T$9:T16)&lt;='Condición Día D'!$AL$7, Consumos!U16, Consumos!Q16*('Condición Día D'!$AL$7-SUM(Consumos!$T$8:T15))))</f>
        <v>0</v>
      </c>
      <c r="AL37" s="6">
        <f>IFERROR(_xlfn.XLOOKUP(AJ37,'Carga y Reparto'!$AJ$92:$AJ$101,'Carga y Reparto'!$AK$92:$AK$101),0)</f>
        <v>0</v>
      </c>
      <c r="AM37" s="32">
        <f t="shared" si="6"/>
        <v>0</v>
      </c>
      <c r="AN37" s="29" t="str">
        <v>Stern Tube</v>
      </c>
      <c r="AO37" s="31">
        <v>1.08</v>
      </c>
      <c r="AP37" s="32" cm="1">
        <f t="array" ref="AP37">IFERROR(_xlfn.XLOOKUP(AN37,_xlfn.ANCHORARRAY($AJ$30),$AK$30:$AK$39),0)</f>
        <v>0</v>
      </c>
      <c r="AQ37" s="32">
        <f t="shared" si="7"/>
        <v>1.08</v>
      </c>
      <c r="AR37" s="32">
        <v>0.9</v>
      </c>
      <c r="AS37" s="32">
        <f t="shared" si="8"/>
        <v>1.2</v>
      </c>
    </row>
    <row r="38" spans="6:45" x14ac:dyDescent="0.3">
      <c r="F38" s="29" t="s">
        <v>548</v>
      </c>
      <c r="G38" s="32">
        <f ca="1">$G$12*SIN(RADIANS(G36))</f>
        <v>0</v>
      </c>
      <c r="H38" s="32">
        <f ca="1">$G$12*SIN(RADIANS(H36))</f>
        <v>0.88471751923845388</v>
      </c>
      <c r="I38" s="32">
        <f t="shared" ref="I38:P38" ca="1" si="9">$G$12*SIN(RADIANS(I36))</f>
        <v>1.7627018039484592</v>
      </c>
      <c r="J38" s="32">
        <f t="shared" ca="1" si="9"/>
        <v>2.1105105587078818</v>
      </c>
      <c r="K38" s="32">
        <f t="shared" ca="1" si="9"/>
        <v>3.4718448055540958</v>
      </c>
      <c r="L38" s="32">
        <f t="shared" ca="1" si="9"/>
        <v>5.0754975595812111</v>
      </c>
      <c r="M38" s="32">
        <f t="shared" ca="1" si="9"/>
        <v>6.5249338885861414</v>
      </c>
      <c r="N38" s="32">
        <f t="shared" ca="1" si="9"/>
        <v>7.7761134031622428</v>
      </c>
      <c r="O38" s="32">
        <f t="shared" ca="1" si="9"/>
        <v>8.7910196468865038</v>
      </c>
      <c r="P38" s="32">
        <f t="shared" ca="1" si="9"/>
        <v>9.8051083481332633</v>
      </c>
      <c r="T38" s="52" t="s">
        <v>30</v>
      </c>
      <c r="U38" s="56">
        <v>0</v>
      </c>
      <c r="V38" s="52">
        <v>15.71</v>
      </c>
      <c r="W38" s="56">
        <f t="shared" si="4"/>
        <v>0</v>
      </c>
      <c r="X38" s="52">
        <v>42.71</v>
      </c>
      <c r="Y38" s="56">
        <f t="shared" si="3"/>
        <v>0</v>
      </c>
      <c r="Z38" s="52">
        <v>-14.54</v>
      </c>
      <c r="AA38" s="56">
        <f t="shared" si="5"/>
        <v>0</v>
      </c>
      <c r="AB38" s="56">
        <v>0</v>
      </c>
      <c r="AJ38" s="43">
        <v>0</v>
      </c>
      <c r="AK38" s="43">
        <f>IF(SUM(Consumos!$T$8:T16)&gt;='Condición Día D'!$AL$7, 0, IF(SUM(Consumos!$T$9:T17)&lt;='Condición Día D'!$AL$7, Consumos!U17, Consumos!Q17*('Condición Día D'!$AL$7-SUM(Consumos!$T$8:T16))))</f>
        <v>0</v>
      </c>
      <c r="AL38" s="6">
        <f>IFERROR(_xlfn.XLOOKUP(AJ38,'Carga y Reparto'!$AJ$92:$AJ$101,'Carga y Reparto'!$AK$92:$AK$101),0)</f>
        <v>0</v>
      </c>
      <c r="AM38" s="32">
        <f t="shared" si="6"/>
        <v>0</v>
      </c>
      <c r="AN38" s="29" t="str">
        <v>Cyl Service 1</v>
      </c>
      <c r="AO38" s="31">
        <v>0.72000000000000008</v>
      </c>
      <c r="AP38" s="32" cm="1">
        <f t="array" ref="AP38">IFERROR(_xlfn.XLOOKUP(AN38,_xlfn.ANCHORARRAY($AJ$30),$AK$30:$AK$39),0)</f>
        <v>0</v>
      </c>
      <c r="AQ38" s="32">
        <f t="shared" si="7"/>
        <v>0.72000000000000008</v>
      </c>
      <c r="AR38" s="32">
        <v>0.9</v>
      </c>
      <c r="AS38" s="32">
        <f t="shared" si="8"/>
        <v>0.8</v>
      </c>
    </row>
    <row r="39" spans="6:45" x14ac:dyDescent="0.3">
      <c r="F39" s="29" t="s">
        <v>551</v>
      </c>
      <c r="G39" s="32">
        <f ca="1">ABS($G$14)*COS(RADIANS(G36))</f>
        <v>3.5836044487013725E-2</v>
      </c>
      <c r="H39" s="32">
        <f t="shared" ref="H39:P39" ca="1" si="10">ABS($G$14)*COS(RADIANS(H36))</f>
        <v>3.5699677518542999E-2</v>
      </c>
      <c r="I39" s="32">
        <f t="shared" ca="1" si="10"/>
        <v>3.5291614448101513E-2</v>
      </c>
      <c r="J39" s="32">
        <f t="shared" ca="1" si="10"/>
        <v>3.5052940934762397E-2</v>
      </c>
      <c r="K39" s="32">
        <f t="shared" ca="1" si="10"/>
        <v>3.3674866562602331E-2</v>
      </c>
      <c r="L39" s="32">
        <f t="shared" ca="1" si="10"/>
        <v>3.1034924896903172E-2</v>
      </c>
      <c r="M39" s="32">
        <f t="shared" ca="1" si="10"/>
        <v>2.7452002742641351E-2</v>
      </c>
      <c r="N39" s="32">
        <f t="shared" ca="1" si="10"/>
        <v>2.3034965376428039E-2</v>
      </c>
      <c r="O39" s="32">
        <f t="shared" ca="1" si="10"/>
        <v>1.7918022243506866E-2</v>
      </c>
      <c r="P39" s="32">
        <f t="shared" ca="1" si="10"/>
        <v>9.2750508143803444E-3</v>
      </c>
      <c r="T39" s="52" t="s">
        <v>29</v>
      </c>
      <c r="U39" s="56">
        <v>0</v>
      </c>
      <c r="V39" s="52">
        <v>15.71</v>
      </c>
      <c r="W39" s="56">
        <f t="shared" si="4"/>
        <v>0</v>
      </c>
      <c r="X39" s="52">
        <v>42.71</v>
      </c>
      <c r="Y39" s="56">
        <f t="shared" si="3"/>
        <v>0</v>
      </c>
      <c r="Z39" s="52">
        <v>14.54</v>
      </c>
      <c r="AA39" s="56">
        <f t="shared" si="5"/>
        <v>0</v>
      </c>
      <c r="AB39" s="56">
        <v>0</v>
      </c>
      <c r="AJ39" s="43">
        <v>0</v>
      </c>
      <c r="AK39" s="43">
        <f>IF(SUM(Consumos!$T$8:T17)&gt;='Condición Día D'!$AL$7, 0, IF(SUM(Consumos!$T$9:T18)&lt;='Condición Día D'!$AL$7, Consumos!U18, Consumos!Q18*('Condición Día D'!$AL$7-SUM(Consumos!$T$8:T17))))</f>
        <v>0</v>
      </c>
      <c r="AL39" s="6">
        <f>IFERROR(_xlfn.XLOOKUP(AJ39,'Carga y Reparto'!$AJ$92:$AJ$101,'Carga y Reparto'!$AK$92:$AK$101),0)</f>
        <v>0</v>
      </c>
      <c r="AM39" s="32">
        <f t="shared" si="6"/>
        <v>0</v>
      </c>
      <c r="AN39" s="29" t="str">
        <v>Cyl Service 2</v>
      </c>
      <c r="AO39" s="31">
        <v>0.72000000000000008</v>
      </c>
      <c r="AP39" s="32" cm="1">
        <f t="array" ref="AP39">IFERROR(_xlfn.XLOOKUP(AN39,_xlfn.ANCHORARRAY($AJ$30),$AK$30:$AK$39),0)</f>
        <v>0</v>
      </c>
      <c r="AQ39" s="32">
        <f t="shared" si="7"/>
        <v>0.72000000000000008</v>
      </c>
      <c r="AR39" s="32">
        <v>0.9</v>
      </c>
      <c r="AS39" s="32">
        <f t="shared" si="8"/>
        <v>0.8</v>
      </c>
    </row>
    <row r="40" spans="6:45" x14ac:dyDescent="0.3">
      <c r="F40" s="29" t="s">
        <v>549</v>
      </c>
      <c r="G40" s="32">
        <f ca="1">G37-G38-G39</f>
        <v>-3.5836044487013725E-2</v>
      </c>
      <c r="H40" s="32">
        <f t="shared" ref="H40:P40" ca="1" si="11">H37-H38-H39</f>
        <v>0.28731981391916006</v>
      </c>
      <c r="I40" s="32">
        <f t="shared" ca="1" si="11"/>
        <v>0.62848060295575237</v>
      </c>
      <c r="J40" s="32">
        <f t="shared" ca="1" si="11"/>
        <v>0.77127902704774742</v>
      </c>
      <c r="K40" s="32">
        <f t="shared" ca="1" si="11"/>
        <v>1.4077968759260064</v>
      </c>
      <c r="L40" s="32">
        <f t="shared" ca="1" si="11"/>
        <v>2.2575226756642355</v>
      </c>
      <c r="M40" s="32">
        <f t="shared" ca="1" si="11"/>
        <v>2.6793007634754882</v>
      </c>
      <c r="N40" s="32">
        <f t="shared" ca="1" si="11"/>
        <v>2.6934327702513658</v>
      </c>
      <c r="O40" s="32">
        <f t="shared" ca="1" si="11"/>
        <v>2.2965379536457902</v>
      </c>
      <c r="P40" s="32">
        <f t="shared" ca="1" si="11"/>
        <v>1.2954071704473731</v>
      </c>
      <c r="T40" s="52" t="s">
        <v>28</v>
      </c>
      <c r="U40" s="56">
        <v>0</v>
      </c>
      <c r="V40" s="52">
        <v>11.53</v>
      </c>
      <c r="W40" s="56">
        <f t="shared" si="4"/>
        <v>0</v>
      </c>
      <c r="X40" s="52">
        <v>2.33</v>
      </c>
      <c r="Y40" s="56">
        <f t="shared" si="3"/>
        <v>0</v>
      </c>
      <c r="Z40" s="52">
        <v>0</v>
      </c>
      <c r="AA40" s="56">
        <f t="shared" si="5"/>
        <v>0</v>
      </c>
      <c r="AB40" s="56">
        <v>0</v>
      </c>
      <c r="AJ40" s="29" t="s">
        <v>485</v>
      </c>
      <c r="AK40" s="32">
        <f>SUM(_xlfn.ANCHORARRAY('Condición Día D'!AK30))</f>
        <v>7</v>
      </c>
      <c r="AL40" s="32">
        <f>IFERROR(AM40/AK40,0)</f>
        <v>8.4</v>
      </c>
      <c r="AM40" s="32">
        <f>SUM('Condición Día D'!AM30:AM39)</f>
        <v>58.800000000000004</v>
      </c>
    </row>
    <row r="41" spans="6:45" x14ac:dyDescent="0.3">
      <c r="T41" s="52" t="s">
        <v>27</v>
      </c>
      <c r="U41" s="56">
        <v>0</v>
      </c>
      <c r="V41" s="52">
        <v>10.210000000000001</v>
      </c>
      <c r="W41" s="56">
        <f t="shared" si="4"/>
        <v>0</v>
      </c>
      <c r="X41" s="52">
        <v>101.22</v>
      </c>
      <c r="Y41" s="56">
        <f t="shared" si="3"/>
        <v>0</v>
      </c>
      <c r="Z41" s="52">
        <v>0</v>
      </c>
      <c r="AA41" s="56">
        <f t="shared" si="5"/>
        <v>0</v>
      </c>
      <c r="AB41" s="56">
        <v>0</v>
      </c>
    </row>
    <row r="42" spans="6:45" x14ac:dyDescent="0.3">
      <c r="F42" s="29" t="s">
        <v>547</v>
      </c>
      <c r="G42" s="29" t="s">
        <v>549</v>
      </c>
      <c r="H42" s="29" t="s">
        <v>552</v>
      </c>
      <c r="I42" s="29" t="s">
        <v>553</v>
      </c>
      <c r="T42" s="54" t="s">
        <v>46</v>
      </c>
      <c r="U42" s="38"/>
      <c r="V42" s="38"/>
      <c r="W42" s="38"/>
      <c r="X42" s="38"/>
      <c r="Y42" s="38"/>
      <c r="Z42" s="38"/>
      <c r="AA42" s="38"/>
      <c r="AB42" s="38"/>
    </row>
    <row r="43" spans="6:45" x14ac:dyDescent="0.3">
      <c r="F43" s="29">
        <v>0</v>
      </c>
      <c r="G43" s="32">
        <f ca="1">LOOKUP(F43,$G$36:$P$36,$G$40:$P$40)</f>
        <v>-3.5836044487013725E-2</v>
      </c>
      <c r="H43" s="30">
        <v>1</v>
      </c>
      <c r="I43" s="32">
        <f ca="1">G43*H43</f>
        <v>-3.5836044487013725E-2</v>
      </c>
      <c r="T43" s="52" t="s">
        <v>47</v>
      </c>
      <c r="U43" s="56" cm="1">
        <f t="array" ref="U43:U51">AQ9:AQ17</f>
        <v>0</v>
      </c>
      <c r="V43" s="52" cm="1">
        <f t="array" ref="V43:V51">_xlfn.ANCHORARRAY('Condición Salida'!V43)</f>
        <v>12.56</v>
      </c>
      <c r="W43" s="56">
        <f t="shared" ref="W43:W51" si="12">U43*V43</f>
        <v>0</v>
      </c>
      <c r="X43" s="52" cm="1">
        <f t="array" ref="X43:X51">_xlfn.ANCHORARRAY('Condición Salida'!X43)</f>
        <v>23.89</v>
      </c>
      <c r="Y43" s="56">
        <f t="shared" ref="Y43:Y51" si="13">U43*X43</f>
        <v>0</v>
      </c>
      <c r="Z43" s="52" cm="1">
        <f t="array" ref="Z43:Z51">_xlfn.ANCHORARRAY('Condición Salida'!Z43)</f>
        <v>-9.91</v>
      </c>
      <c r="AA43" s="56">
        <f t="shared" ref="AA43:AA51" si="14">U43*Z43</f>
        <v>0</v>
      </c>
      <c r="AB43" s="56">
        <f>IF(AND(AS9&lt;TTHH!D53,AS9&lt;&gt;0),TTHH!H53,0)</f>
        <v>0</v>
      </c>
      <c r="AJ43" s="29" t="s">
        <v>486</v>
      </c>
      <c r="AK43" s="29" t="s">
        <v>99</v>
      </c>
      <c r="AL43" s="29" t="s">
        <v>15</v>
      </c>
      <c r="AM43" s="29" t="s">
        <v>383</v>
      </c>
      <c r="AN43" s="50" cm="1">
        <f t="array" ref="AN43:AO46">Consumos!X21:Y24</f>
        <v>0</v>
      </c>
      <c r="AO43" s="29" t="str">
        <v>Cap SAL</v>
      </c>
      <c r="AP43" s="29" t="s">
        <v>524</v>
      </c>
      <c r="AQ43" s="29" t="s">
        <v>525</v>
      </c>
      <c r="AR43" s="29" t="s">
        <v>359</v>
      </c>
      <c r="AS43" s="29" t="s">
        <v>528</v>
      </c>
    </row>
    <row r="44" spans="6:45" x14ac:dyDescent="0.3">
      <c r="F44" s="29">
        <v>5</v>
      </c>
      <c r="G44" s="32">
        <f t="shared" ref="G44:G52" ca="1" si="15">LOOKUP(F44,$G$36:$P$36,$G$40:$P$40)</f>
        <v>0.28731981391916006</v>
      </c>
      <c r="H44" s="30">
        <v>4</v>
      </c>
      <c r="I44" s="32">
        <f t="shared" ref="I44:I52" ca="1" si="16">G44*H44</f>
        <v>1.1492792556766402</v>
      </c>
      <c r="T44" s="52" t="s">
        <v>48</v>
      </c>
      <c r="U44" s="56">
        <v>0</v>
      </c>
      <c r="V44" s="52">
        <v>12.31</v>
      </c>
      <c r="W44" s="56">
        <f t="shared" si="12"/>
        <v>0</v>
      </c>
      <c r="X44" s="52">
        <v>24.07</v>
      </c>
      <c r="Y44" s="56">
        <f t="shared" si="13"/>
        <v>0</v>
      </c>
      <c r="Z44" s="52">
        <v>10.62</v>
      </c>
      <c r="AA44" s="56">
        <f t="shared" si="14"/>
        <v>0</v>
      </c>
      <c r="AB44" s="56">
        <f>IF(AND(AS10&lt;TTHH!D54,AS10&lt;&gt;0),TTHH!H54,0)</f>
        <v>0</v>
      </c>
      <c r="AJ44" s="43" cm="1">
        <f t="array" ref="AJ44:AJ46">Consumos!P22:P24</f>
        <v>0</v>
      </c>
      <c r="AK44" s="43">
        <f>IF(SUM(Consumos!$T$21:T21)&gt;='Condición Día D'!$AL$7, 0, IF(SUM(Consumos!$T$22:T22)&lt;='Condición Día D'!$AL$7, Consumos!U22, Consumos!Q22*('Condición Día D'!$AL$7-SUM(Consumos!$T$21:T21))))</f>
        <v>0</v>
      </c>
      <c r="AL44" s="6">
        <f>IFERROR(_xlfn.XLOOKUP(AJ44,'Carga y Reparto'!$AM$92:$AM$94,'Carga y Reparto'!$AN$92:$AN$94),0)</f>
        <v>0</v>
      </c>
      <c r="AM44" s="32">
        <f>IFERROR(AK44*AL44,0)</f>
        <v>0</v>
      </c>
      <c r="AN44" s="29" t="str">
        <v>HFO Drain</v>
      </c>
      <c r="AO44" s="31">
        <v>0</v>
      </c>
      <c r="AP44" s="32" cm="1">
        <f t="array" ref="AP44">IFERROR(_xlfn.XLOOKUP(AN44,_xlfn.ANCHORARRAY($AJ$44),$AK$44:$AK$46),0)</f>
        <v>0</v>
      </c>
      <c r="AQ44" s="32">
        <f>AO44-AP44</f>
        <v>0</v>
      </c>
      <c r="AR44" s="32" cm="1">
        <f t="array" ref="AR44:AR46">'Carga y Reparto'!Q81:Q83</f>
        <v>0.9</v>
      </c>
      <c r="AS44" s="32">
        <f>IFERROR(AQ44/AR44,0)</f>
        <v>0</v>
      </c>
    </row>
    <row r="45" spans="6:45" x14ac:dyDescent="0.3">
      <c r="F45" s="29">
        <v>10</v>
      </c>
      <c r="G45" s="32">
        <f t="shared" ca="1" si="15"/>
        <v>0.62848060295575237</v>
      </c>
      <c r="H45" s="30">
        <v>2</v>
      </c>
      <c r="I45" s="32">
        <f t="shared" ca="1" si="16"/>
        <v>1.2569612059115047</v>
      </c>
      <c r="T45" s="52" t="s">
        <v>49</v>
      </c>
      <c r="U45" s="56">
        <v>144.57799999999997</v>
      </c>
      <c r="V45" s="52">
        <v>12.38</v>
      </c>
      <c r="W45" s="56">
        <f t="shared" si="12"/>
        <v>1789.8756399999997</v>
      </c>
      <c r="X45" s="52">
        <v>17.920000000000002</v>
      </c>
      <c r="Y45" s="56">
        <f t="shared" si="13"/>
        <v>2590.8377599999999</v>
      </c>
      <c r="Z45" s="52">
        <v>-9.4600000000000009</v>
      </c>
      <c r="AA45" s="56">
        <f t="shared" si="14"/>
        <v>-1367.7078799999999</v>
      </c>
      <c r="AB45" s="56">
        <f>IF(AND(AS11&lt;TTHH!D55,AS11&lt;&gt;0),TTHH!H55,0)</f>
        <v>592</v>
      </c>
      <c r="AJ45" s="43">
        <v>0</v>
      </c>
      <c r="AK45" s="43">
        <f>IF(SUM(Consumos!$T$21:T22)&gt;='Condición Día D'!$AL$7, 0, IF(SUM(Consumos!$T$22:T23)&lt;='Condición Día D'!$AL$7, Consumos!U23, Consumos!Q23*('Condición Día D'!$AL$7-SUM(Consumos!$T$21:T22))))</f>
        <v>0</v>
      </c>
      <c r="AL45" s="6">
        <f>IFERROR(_xlfn.XLOOKUP(AJ45,'Carga y Reparto'!$AM$92:$AM$94,'Carga y Reparto'!$AN$92:$AN$94),0)</f>
        <v>0</v>
      </c>
      <c r="AM45" s="32">
        <f>IFERROR(AK45*AL45,0)</f>
        <v>0</v>
      </c>
      <c r="AN45" s="29" t="str">
        <v>Sludge</v>
      </c>
      <c r="AO45" s="31">
        <v>0</v>
      </c>
      <c r="AP45" s="32" cm="1">
        <f t="array" ref="AP45">IFERROR(_xlfn.XLOOKUP(AN45,_xlfn.ANCHORARRAY($AJ$44),$AK$44:$AK$46),0)</f>
        <v>0</v>
      </c>
      <c r="AQ45" s="32">
        <f>AO45-AP45</f>
        <v>0</v>
      </c>
      <c r="AR45" s="32">
        <v>0.9</v>
      </c>
      <c r="AS45" s="32">
        <f>IFERROR(AQ45/AR45,0)</f>
        <v>0</v>
      </c>
    </row>
    <row r="46" spans="6:45" x14ac:dyDescent="0.3">
      <c r="F46" s="29">
        <v>12</v>
      </c>
      <c r="G46" s="32">
        <f t="shared" ca="1" si="15"/>
        <v>0.77127902704774742</v>
      </c>
      <c r="H46" s="30">
        <v>4</v>
      </c>
      <c r="I46" s="32">
        <f t="shared" ca="1" si="16"/>
        <v>3.0851161081909897</v>
      </c>
      <c r="T46" s="52" t="s">
        <v>50</v>
      </c>
      <c r="U46" s="56">
        <v>450.48999999999995</v>
      </c>
      <c r="V46" s="52">
        <v>12.39</v>
      </c>
      <c r="W46" s="56">
        <f t="shared" si="12"/>
        <v>5581.5711000000001</v>
      </c>
      <c r="X46" s="52">
        <v>17.47</v>
      </c>
      <c r="Y46" s="56">
        <f t="shared" si="13"/>
        <v>7870.0602999999983</v>
      </c>
      <c r="Z46" s="52">
        <v>9.93</v>
      </c>
      <c r="AA46" s="56">
        <f t="shared" si="14"/>
        <v>4473.3656999999994</v>
      </c>
      <c r="AB46" s="56">
        <f>IF(AND(AS12&lt;TTHH!D56,AS12&lt;&gt;0),TTHH!H56,0)</f>
        <v>0</v>
      </c>
      <c r="AJ46" s="43">
        <v>0</v>
      </c>
      <c r="AK46" s="43">
        <f>IF(SUM(Consumos!$T$21:T23)&gt;='Condición Día D'!$AL$7, 0, IF(SUM(Consumos!$T$22:T24)&lt;='Condición Día D'!$AL$7, Consumos!U24, Consumos!Q24*('Condición Día D'!$AL$7-SUM(Consumos!$T$21:T23))))</f>
        <v>0</v>
      </c>
      <c r="AL46" s="6">
        <f>IFERROR(_xlfn.XLOOKUP(AJ46,'Carga y Reparto'!$AM$92:$AM$94,'Carga y Reparto'!$AN$92:$AN$94),0)</f>
        <v>0</v>
      </c>
      <c r="AM46" s="32">
        <f>IFERROR(AK46*AL46,0)</f>
        <v>0</v>
      </c>
      <c r="AN46" s="29" t="str">
        <v>Stern Tube Drain</v>
      </c>
      <c r="AO46" s="31">
        <v>0</v>
      </c>
      <c r="AP46" s="32" cm="1">
        <f t="array" ref="AP46">IFERROR(_xlfn.XLOOKUP(AN46,_xlfn.ANCHORARRAY($AJ$44),$AK$44:$AK$46),0)</f>
        <v>0</v>
      </c>
      <c r="AQ46" s="32">
        <f>AO46-AP46</f>
        <v>0</v>
      </c>
      <c r="AR46" s="32">
        <v>0.9</v>
      </c>
      <c r="AS46" s="32">
        <f>IFERROR(AQ46/AR46,0)</f>
        <v>0</v>
      </c>
    </row>
    <row r="47" spans="6:45" x14ac:dyDescent="0.3">
      <c r="F47" s="29">
        <v>20</v>
      </c>
      <c r="G47" s="32">
        <f t="shared" ca="1" si="15"/>
        <v>1.4077968759260064</v>
      </c>
      <c r="H47" s="30">
        <v>2</v>
      </c>
      <c r="I47" s="32">
        <f t="shared" ca="1" si="16"/>
        <v>2.8155937518520129</v>
      </c>
      <c r="T47" s="52" t="s">
        <v>51</v>
      </c>
      <c r="U47" s="56">
        <v>42.94</v>
      </c>
      <c r="V47" s="52">
        <v>13.5</v>
      </c>
      <c r="W47" s="56">
        <f t="shared" si="12"/>
        <v>579.68999999999994</v>
      </c>
      <c r="X47" s="52">
        <v>22.4</v>
      </c>
      <c r="Y47" s="56">
        <f t="shared" si="13"/>
        <v>961.85599999999988</v>
      </c>
      <c r="Z47" s="52">
        <v>7.19</v>
      </c>
      <c r="AA47" s="56">
        <f t="shared" si="14"/>
        <v>308.73860000000002</v>
      </c>
      <c r="AB47" s="56">
        <f>IF(AND(AS13&lt;TTHH!D57,AS13&lt;&gt;0),TTHH!H57,0)</f>
        <v>0</v>
      </c>
      <c r="AJ47" s="29" t="s">
        <v>486</v>
      </c>
      <c r="AK47" s="32">
        <f>SUM(_xlfn.ANCHORARRAY('Condición Día D'!AK44))</f>
        <v>0</v>
      </c>
      <c r="AL47" s="32">
        <f>IFERROR(AM47/AK47,0)</f>
        <v>0</v>
      </c>
      <c r="AM47" s="32">
        <f>SUM('Condición Día D'!AM44:AM46)</f>
        <v>0</v>
      </c>
    </row>
    <row r="48" spans="6:45" x14ac:dyDescent="0.3">
      <c r="F48" s="29">
        <v>30</v>
      </c>
      <c r="G48" s="32">
        <f t="shared" ca="1" si="15"/>
        <v>2.2575226756642355</v>
      </c>
      <c r="H48" s="30">
        <v>4</v>
      </c>
      <c r="I48" s="32">
        <f t="shared" ca="1" si="16"/>
        <v>9.0300907026569419</v>
      </c>
      <c r="T48" s="52" t="s">
        <v>52</v>
      </c>
      <c r="U48" s="56">
        <v>0</v>
      </c>
      <c r="V48" s="52">
        <v>13.5</v>
      </c>
      <c r="W48" s="56">
        <f t="shared" si="12"/>
        <v>0</v>
      </c>
      <c r="X48" s="52">
        <v>20.8</v>
      </c>
      <c r="Y48" s="56">
        <f t="shared" si="13"/>
        <v>0</v>
      </c>
      <c r="Z48" s="52">
        <v>7.19</v>
      </c>
      <c r="AA48" s="56">
        <f t="shared" si="14"/>
        <v>0</v>
      </c>
      <c r="AB48" s="56">
        <f>IF(AND(AS14&lt;TTHH!D58,AS14&lt;&gt;0),TTHH!H58,0)</f>
        <v>0</v>
      </c>
    </row>
    <row r="49" spans="6:45" x14ac:dyDescent="0.3">
      <c r="F49" s="29">
        <v>40</v>
      </c>
      <c r="G49" s="32">
        <f t="shared" ca="1" si="15"/>
        <v>2.6793007634754882</v>
      </c>
      <c r="H49" s="30">
        <v>1</v>
      </c>
      <c r="I49" s="32">
        <f t="shared" ca="1" si="16"/>
        <v>2.6793007634754882</v>
      </c>
      <c r="T49" s="52" t="s">
        <v>53</v>
      </c>
      <c r="U49" s="56">
        <v>42.94</v>
      </c>
      <c r="V49" s="52">
        <v>13.5</v>
      </c>
      <c r="W49" s="56">
        <f t="shared" si="12"/>
        <v>579.68999999999994</v>
      </c>
      <c r="X49" s="52">
        <v>24</v>
      </c>
      <c r="Y49" s="56">
        <f t="shared" si="13"/>
        <v>1030.56</v>
      </c>
      <c r="Z49" s="52">
        <v>7.19</v>
      </c>
      <c r="AA49" s="56">
        <f t="shared" si="14"/>
        <v>308.73860000000002</v>
      </c>
      <c r="AB49" s="56">
        <f>IF(AND(AS15&lt;TTHH!D59,AS15&lt;&gt;0),TTHH!H59,0)</f>
        <v>0</v>
      </c>
    </row>
    <row r="50" spans="6:45" x14ac:dyDescent="0.3">
      <c r="F50" s="29">
        <v>50</v>
      </c>
      <c r="G50" s="32">
        <f t="shared" ca="1" si="15"/>
        <v>2.6934327702513658</v>
      </c>
      <c r="H50" s="30">
        <v>1</v>
      </c>
      <c r="I50" s="32">
        <f t="shared" ca="1" si="16"/>
        <v>2.6934327702513658</v>
      </c>
      <c r="T50" s="52" t="s">
        <v>54</v>
      </c>
      <c r="U50" s="56">
        <v>8.5879999999999992</v>
      </c>
      <c r="V50" s="52">
        <v>13.5</v>
      </c>
      <c r="W50" s="56">
        <f t="shared" si="12"/>
        <v>115.93799999999999</v>
      </c>
      <c r="X50" s="52">
        <v>19.2</v>
      </c>
      <c r="Y50" s="56">
        <f t="shared" si="13"/>
        <v>164.88959999999997</v>
      </c>
      <c r="Z50" s="52">
        <v>7.19</v>
      </c>
      <c r="AA50" s="56">
        <f t="shared" si="14"/>
        <v>61.747720000000001</v>
      </c>
      <c r="AB50" s="56">
        <f>IF(AND(AS16&lt;TTHH!D60,AS16&lt;&gt;0),TTHH!H60,0)</f>
        <v>4</v>
      </c>
      <c r="AJ50" s="29" t="s">
        <v>488</v>
      </c>
      <c r="AK50" s="29" t="s">
        <v>99</v>
      </c>
      <c r="AL50" s="29" t="s">
        <v>15</v>
      </c>
      <c r="AM50" s="29" t="s">
        <v>383</v>
      </c>
      <c r="AN50" s="50" cm="1">
        <f t="array" ref="AN50:AO55">Consumos!AI8:AJ13</f>
        <v>0</v>
      </c>
      <c r="AO50" s="29" t="str">
        <v>Cap SAL</v>
      </c>
      <c r="AP50" s="29" t="s">
        <v>524</v>
      </c>
      <c r="AQ50" s="29" t="s">
        <v>525</v>
      </c>
      <c r="AR50" s="29" t="s">
        <v>359</v>
      </c>
      <c r="AS50" s="29" t="s">
        <v>528</v>
      </c>
    </row>
    <row r="51" spans="6:45" x14ac:dyDescent="0.3">
      <c r="F51" s="29">
        <v>60</v>
      </c>
      <c r="G51" s="32">
        <f t="shared" ca="1" si="15"/>
        <v>2.2965379536457902</v>
      </c>
      <c r="H51" s="30">
        <v>4</v>
      </c>
      <c r="I51" s="32">
        <f t="shared" ca="1" si="16"/>
        <v>9.1861518145831607</v>
      </c>
      <c r="T51" s="52" t="s">
        <v>55</v>
      </c>
      <c r="U51" s="56">
        <v>4.3890000000000002</v>
      </c>
      <c r="V51" s="52">
        <v>1.31</v>
      </c>
      <c r="W51" s="56">
        <f t="shared" si="12"/>
        <v>5.7495900000000004</v>
      </c>
      <c r="X51" s="52">
        <v>22.69</v>
      </c>
      <c r="Y51" s="56">
        <f t="shared" si="13"/>
        <v>99.586410000000015</v>
      </c>
      <c r="Z51" s="52">
        <v>3.19</v>
      </c>
      <c r="AA51" s="56">
        <f t="shared" si="14"/>
        <v>14.000910000000001</v>
      </c>
      <c r="AB51" s="56">
        <f>IF(AND(AS17&lt;TTHH!D61,AS17&lt;&gt;0),TTHH!H61,0)</f>
        <v>27</v>
      </c>
      <c r="AJ51" s="43" cm="1">
        <f t="array" ref="AJ51:AJ55">Consumos!AA9:AA13</f>
        <v>0</v>
      </c>
      <c r="AK51" s="43">
        <f>IF(SUM(Consumos!$AE$8:AE8)&gt;='Condición Día D'!$AL$7, 0, IF(SUM(Consumos!$AE$9:AE9)&lt;='Condición Día D'!$AL$7, Consumos!AF9, Consumos!AB9*('Condición Día D'!$AL$7-SUM(Consumos!$AE$8:AE8))))</f>
        <v>0</v>
      </c>
      <c r="AL51" s="6">
        <f>IFERROR(_xlfn.XLOOKUP(AJ51,'Carga y Reparto'!$AP$92:$AP$96,'Carga y Reparto'!$AQ$92:$AQ$96),0)</f>
        <v>0</v>
      </c>
      <c r="AM51" s="32">
        <f>IFERROR(AK51*AL51,0)</f>
        <v>0</v>
      </c>
      <c r="AN51" s="29" t="str">
        <v>S/T Cooling</v>
      </c>
      <c r="AO51" s="31">
        <v>0</v>
      </c>
      <c r="AP51" s="32" cm="1">
        <f t="array" ref="AP51">IFERROR(_xlfn.XLOOKUP(AN51,_xlfn.ANCHORARRAY($AJ$51),$AK$51:$AK$55),0)</f>
        <v>0</v>
      </c>
      <c r="AQ51" s="32">
        <f>AO51-AP51</f>
        <v>0</v>
      </c>
      <c r="AR51" s="32" cm="1">
        <f t="array" ref="AR51:AR55">'Carga y Reparto'!Q87:Q91</f>
        <v>1</v>
      </c>
      <c r="AS51" s="32">
        <f>IFERROR(AQ51/AR51,0)</f>
        <v>0</v>
      </c>
    </row>
    <row r="52" spans="6:45" x14ac:dyDescent="0.3">
      <c r="F52" s="29">
        <v>75</v>
      </c>
      <c r="G52" s="32">
        <f t="shared" ca="1" si="15"/>
        <v>1.2954071704473731</v>
      </c>
      <c r="H52" s="30">
        <v>1</v>
      </c>
      <c r="I52" s="32">
        <f t="shared" ca="1" si="16"/>
        <v>1.2954071704473731</v>
      </c>
      <c r="T52" s="54" t="s">
        <v>57</v>
      </c>
      <c r="U52" s="38"/>
      <c r="V52" s="38"/>
      <c r="W52" s="38"/>
      <c r="X52" s="38"/>
      <c r="Y52" s="38"/>
      <c r="Z52" s="38"/>
      <c r="AA52" s="38"/>
      <c r="AB52" s="38"/>
      <c r="AJ52" s="43">
        <v>0</v>
      </c>
      <c r="AK52" s="43">
        <f>IF(SUM(Consumos!$AE$8:AE9)&gt;='Condición Día D'!$AL$7, 0, IF(SUM(Consumos!$AE$9:AE10)&lt;='Condición Día D'!$AL$7, Consumos!AF10, Consumos!AB10*('Condición Día D'!$AL$7-SUM(Consumos!$AE$8:AE9))))</f>
        <v>0</v>
      </c>
      <c r="AL52" s="6">
        <f>IFERROR(_xlfn.XLOOKUP(AJ52,'Carga y Reparto'!$AP$92:$AP$96,'Carga y Reparto'!$AQ$92:$AQ$96),0)</f>
        <v>0</v>
      </c>
      <c r="AM52" s="32">
        <f>IFERROR(AK52*AL52,0)</f>
        <v>0</v>
      </c>
      <c r="AN52" s="29" t="str">
        <v>Sewage Holding</v>
      </c>
      <c r="AO52" s="31">
        <v>0</v>
      </c>
      <c r="AP52" s="32" cm="1">
        <f t="array" ref="AP52">IFERROR(_xlfn.XLOOKUP(AN52,_xlfn.ANCHORARRAY($AJ$51),$AK$51:$AK$55),0)</f>
        <v>0</v>
      </c>
      <c r="AQ52" s="32">
        <f>AO52-AP52</f>
        <v>0</v>
      </c>
      <c r="AR52" s="32">
        <v>1</v>
      </c>
      <c r="AS52" s="32">
        <f>IFERROR(AQ52/AR52,0)</f>
        <v>0</v>
      </c>
    </row>
    <row r="53" spans="6:45" x14ac:dyDescent="0.3">
      <c r="T53" s="52" t="s">
        <v>58</v>
      </c>
      <c r="U53" s="56" cm="1">
        <f t="array" ref="U53:U56">AQ22:AQ25</f>
        <v>141.52500000000001</v>
      </c>
      <c r="V53" s="52" cm="1">
        <f t="array" ref="V53:V80">'Condición Salida'!V53:V80</f>
        <v>15.65</v>
      </c>
      <c r="W53" s="56">
        <f>U53*V53</f>
        <v>2214.86625</v>
      </c>
      <c r="X53" s="52" cm="1">
        <f t="array" ref="X53:X80">'Condición Salida'!X53:X80</f>
        <v>14.2</v>
      </c>
      <c r="Y53" s="56">
        <f>U53*X53</f>
        <v>2009.655</v>
      </c>
      <c r="Z53" s="52" cm="1">
        <f t="array" ref="Z53:Z80">'Condición Salida'!Z53:Z80</f>
        <v>11.76</v>
      </c>
      <c r="AA53" s="56">
        <f>U53*Z53</f>
        <v>1664.3340000000001</v>
      </c>
      <c r="AB53" s="56">
        <f>IF(AND(AS22&lt;TTHH!D69,AS22&lt;&gt;0),TTHH!H69,0)</f>
        <v>0</v>
      </c>
      <c r="AJ53" s="43">
        <v>0</v>
      </c>
      <c r="AK53" s="43">
        <f>IF(SUM(Consumos!$AE$8:AE10)&gt;='Condición Día D'!$AL$7, 0, IF(SUM(Consumos!$AE$9:AE11)&lt;='Condición Día D'!$AL$7, Consumos!AF11, Consumos!AB11*('Condición Día D'!$AL$7-SUM(Consumos!$AE$8:AE10))))</f>
        <v>0</v>
      </c>
      <c r="AL53" s="6">
        <f>IFERROR(_xlfn.XLOOKUP(AJ53,'Carga y Reparto'!$AP$92:$AP$96,'Carga y Reparto'!$AQ$92:$AQ$96),0)</f>
        <v>0</v>
      </c>
      <c r="AM53" s="32">
        <f>IFERROR(AK53*AL53,0)</f>
        <v>0</v>
      </c>
      <c r="AN53" s="29" t="str">
        <v>Bilge</v>
      </c>
      <c r="AO53" s="31">
        <v>0</v>
      </c>
      <c r="AP53" s="32" cm="1">
        <f t="array" ref="AP53">IFERROR(_xlfn.XLOOKUP(AN53,_xlfn.ANCHORARRAY($AJ$51),$AK$51:$AK$55),0)</f>
        <v>0</v>
      </c>
      <c r="AQ53" s="32">
        <f>AO53-AP53</f>
        <v>0</v>
      </c>
      <c r="AR53" s="32">
        <v>1</v>
      </c>
      <c r="AS53" s="32">
        <f>IFERROR(AQ53/AR53,0)</f>
        <v>0</v>
      </c>
    </row>
    <row r="54" spans="6:45" x14ac:dyDescent="0.3">
      <c r="F54" s="29" t="s">
        <v>554</v>
      </c>
      <c r="G54" s="32">
        <f ca="1">(0.0872664626/3)*SUM(I43:I48)</f>
        <v>0.5032716524349149</v>
      </c>
      <c r="T54" s="52" t="s">
        <v>59</v>
      </c>
      <c r="U54" s="56">
        <v>3.4864999999999995</v>
      </c>
      <c r="V54" s="52">
        <v>15.75</v>
      </c>
      <c r="W54" s="56">
        <f>U54*V54</f>
        <v>54.91237499999999</v>
      </c>
      <c r="X54" s="52">
        <v>15.2</v>
      </c>
      <c r="Y54" s="56">
        <f>U54*X54</f>
        <v>52.994799999999991</v>
      </c>
      <c r="Z54" s="52">
        <v>7.19</v>
      </c>
      <c r="AA54" s="56">
        <f>U54*Z54</f>
        <v>25.067934999999999</v>
      </c>
      <c r="AB54" s="56">
        <f>IF(AND(AS23&lt;TTHH!D70,AS23&lt;&gt;0),TTHH!H70,0)</f>
        <v>4</v>
      </c>
      <c r="AJ54" s="43">
        <v>0</v>
      </c>
      <c r="AK54" s="43">
        <f>IF(SUM(Consumos!$AE$8:AE11)&gt;='Condición Día D'!$AL$7, 0, IF(SUM(Consumos!$AE$9:AE12)&lt;='Condición Día D'!$AL$7, Consumos!AF12, Consumos!AB12*('Condición Día D'!$AL$7-SUM(Consumos!$AE$8:AE11))))</f>
        <v>0</v>
      </c>
      <c r="AL54" s="6">
        <f>IFERROR(_xlfn.XLOOKUP(AJ54,'Carga y Reparto'!$AP$92:$AP$96,'Carga y Reparto'!$AQ$92:$AQ$96),0)</f>
        <v>0</v>
      </c>
      <c r="AM54" s="32">
        <f>IFERROR(AK54*AL54,0)</f>
        <v>0</v>
      </c>
      <c r="AN54" s="29" t="str">
        <v>Feed</v>
      </c>
      <c r="AO54" s="31">
        <v>0</v>
      </c>
      <c r="AP54" s="32" cm="1">
        <f t="array" ref="AP54">IFERROR(_xlfn.XLOOKUP(AN54,_xlfn.ANCHORARRAY($AJ$51),$AK$51:$AK$55),0)</f>
        <v>0</v>
      </c>
      <c r="AQ54" s="32">
        <f>AO54-AP54</f>
        <v>0</v>
      </c>
      <c r="AR54" s="32">
        <v>1</v>
      </c>
      <c r="AS54" s="32">
        <f>IFERROR(AQ54/AR54,0)</f>
        <v>0</v>
      </c>
    </row>
    <row r="55" spans="6:45" x14ac:dyDescent="0.3">
      <c r="F55" s="29" t="s">
        <v>555</v>
      </c>
      <c r="G55" s="32">
        <f ca="1">(0.0872664626/3)*SUM(I48:I49)</f>
        <v>0.34061239081600164</v>
      </c>
      <c r="T55" s="52" t="s">
        <v>60</v>
      </c>
      <c r="U55" s="56">
        <v>7.6620000000000026</v>
      </c>
      <c r="V55" s="52">
        <v>15.75</v>
      </c>
      <c r="W55" s="56">
        <f>U55*V55</f>
        <v>120.67650000000005</v>
      </c>
      <c r="X55" s="52">
        <v>12</v>
      </c>
      <c r="Y55" s="56">
        <f>U55*X55</f>
        <v>91.944000000000031</v>
      </c>
      <c r="Z55" s="52">
        <v>7.19</v>
      </c>
      <c r="AA55" s="56">
        <f>U55*Z55</f>
        <v>55.089780000000019</v>
      </c>
      <c r="AB55" s="56">
        <f>IF(AND(AS24&lt;TTHH!D71,AS24&lt;&gt;0),TTHH!H71,0)</f>
        <v>4</v>
      </c>
      <c r="AJ55" s="43">
        <v>0</v>
      </c>
      <c r="AK55" s="43">
        <f>IF(SUM(Consumos!$AE$8:AE12)&gt;='Condición Día D'!$AL$7, 0, IF(SUM(Consumos!$AE$9:AE13)&lt;='Condición Día D'!$AL$7, Consumos!AF13, Consumos!AB13*('Condición Día D'!$AL$7-SUM(Consumos!$AE$8:AE12))))</f>
        <v>0</v>
      </c>
      <c r="AL55" s="6">
        <f>IFERROR(_xlfn.XLOOKUP(AJ55,'Carga y Reparto'!$AP$92:$AP$96,'Carga y Reparto'!$AQ$92:$AQ$96),0)</f>
        <v>0</v>
      </c>
      <c r="AM55" s="32">
        <f>IFERROR(AK55*AL55,0)</f>
        <v>0</v>
      </c>
      <c r="AN55" s="29" t="str">
        <v>FW Drain</v>
      </c>
      <c r="AO55" s="31">
        <v>0</v>
      </c>
      <c r="AP55" s="32" cm="1">
        <f t="array" ref="AP55">IFERROR(_xlfn.XLOOKUP(AN55,_xlfn.ANCHORARRAY($AJ$51),$AK$51:$AK$55),0)</f>
        <v>0</v>
      </c>
      <c r="AQ55" s="32">
        <f>AO55-AP55</f>
        <v>0</v>
      </c>
      <c r="AR55" s="32">
        <v>1</v>
      </c>
      <c r="AS55" s="32">
        <f>IFERROR(AQ55/AR55,0)</f>
        <v>0</v>
      </c>
    </row>
    <row r="56" spans="6:45" x14ac:dyDescent="0.3">
      <c r="F56" s="29" t="s">
        <v>556</v>
      </c>
      <c r="G56" s="32">
        <f ca="1">(0.0872664626/3)*SUM(I43:I49)</f>
        <v>0.58120935239157656</v>
      </c>
      <c r="T56" s="52" t="s">
        <v>61</v>
      </c>
      <c r="U56" s="56">
        <v>3.4578000000000002</v>
      </c>
      <c r="V56" s="52">
        <v>15.75</v>
      </c>
      <c r="W56" s="56">
        <f>U56*V56</f>
        <v>54.460350000000005</v>
      </c>
      <c r="X56" s="52">
        <v>13.6</v>
      </c>
      <c r="Y56" s="56">
        <f>U56*X56</f>
        <v>47.02608</v>
      </c>
      <c r="Z56" s="52">
        <v>7.19</v>
      </c>
      <c r="AA56" s="56">
        <f>U56*Z56</f>
        <v>24.861582000000002</v>
      </c>
      <c r="AB56" s="56">
        <f>IF(AND(AS25&lt;TTHH!D72,AS25&lt;&gt;0),TTHH!H72,0)</f>
        <v>4</v>
      </c>
      <c r="AJ56" s="29" t="s">
        <v>488</v>
      </c>
      <c r="AK56" s="32">
        <f>SUM(_xlfn.ANCHORARRAY('Condición Día D'!AK51))</f>
        <v>0</v>
      </c>
      <c r="AL56" s="32">
        <f>IFERROR(AM56/AK56,0)</f>
        <v>0</v>
      </c>
      <c r="AM56" s="32">
        <f>SUM('Condición Día D'!AM51:AM55)</f>
        <v>0</v>
      </c>
    </row>
    <row r="57" spans="6:45" x14ac:dyDescent="0.3">
      <c r="T57" s="54" t="s">
        <v>63</v>
      </c>
      <c r="U57" s="38"/>
      <c r="V57" s="51">
        <v>0</v>
      </c>
      <c r="W57" s="51"/>
      <c r="X57" s="51">
        <v>0</v>
      </c>
      <c r="Y57" s="38"/>
      <c r="Z57" s="51">
        <v>0</v>
      </c>
      <c r="AA57" s="38"/>
      <c r="AB57" s="38"/>
    </row>
    <row r="58" spans="6:45" x14ac:dyDescent="0.3">
      <c r="T58" s="52" t="s">
        <v>65</v>
      </c>
      <c r="U58" s="56" cm="1">
        <f t="array" ref="U58:U67">AQ30:AQ39</f>
        <v>17.100000000000001</v>
      </c>
      <c r="V58" s="52">
        <v>11.77</v>
      </c>
      <c r="W58" s="56">
        <f t="shared" ref="W58:W67" si="17">U58*V58</f>
        <v>201.267</v>
      </c>
      <c r="X58" s="52">
        <v>6.81</v>
      </c>
      <c r="Y58" s="56">
        <f t="shared" ref="Y58:Y67" si="18">U58*X58</f>
        <v>116.45100000000001</v>
      </c>
      <c r="Z58" s="52">
        <v>8.43</v>
      </c>
      <c r="AA58" s="56">
        <f t="shared" ref="AA58:AA67" si="19">U58*Z58</f>
        <v>144.15300000000002</v>
      </c>
      <c r="AB58" s="56">
        <f>IF(AND(AS30&lt;TTHH!D80,AS30&lt;&gt;0),TTHH!H80,0)</f>
        <v>0</v>
      </c>
    </row>
    <row r="59" spans="6:45" x14ac:dyDescent="0.3">
      <c r="T59" s="52" t="s">
        <v>66</v>
      </c>
      <c r="U59" s="56">
        <v>16.829999999999998</v>
      </c>
      <c r="V59" s="52">
        <v>11.69</v>
      </c>
      <c r="W59" s="56">
        <f t="shared" si="17"/>
        <v>196.74269999999999</v>
      </c>
      <c r="X59" s="52">
        <v>7.61</v>
      </c>
      <c r="Y59" s="56">
        <f t="shared" si="18"/>
        <v>128.0763</v>
      </c>
      <c r="Z59" s="52">
        <v>8.57</v>
      </c>
      <c r="AA59" s="56">
        <f t="shared" si="19"/>
        <v>144.23309999999998</v>
      </c>
      <c r="AB59" s="56">
        <f>IF(AND(AS31&lt;TTHH!D81,AS31&lt;&gt;0),TTHH!H81,0)</f>
        <v>0</v>
      </c>
      <c r="AJ59" s="29" t="s">
        <v>487</v>
      </c>
      <c r="AK59" s="29" t="s">
        <v>99</v>
      </c>
      <c r="AL59" s="29" t="s">
        <v>15</v>
      </c>
      <c r="AM59" s="29" t="s">
        <v>383</v>
      </c>
      <c r="AN59" s="50" cm="1">
        <f t="array" ref="AN59:AO61">Consumos!AI16:AJ18</f>
        <v>0</v>
      </c>
      <c r="AO59" s="29" t="str">
        <v>Cap SAL</v>
      </c>
      <c r="AP59" s="29" t="s">
        <v>524</v>
      </c>
      <c r="AQ59" s="29" t="s">
        <v>525</v>
      </c>
      <c r="AR59" s="29" t="s">
        <v>359</v>
      </c>
      <c r="AS59" s="29" t="s">
        <v>528</v>
      </c>
    </row>
    <row r="60" spans="6:45" x14ac:dyDescent="0.3">
      <c r="T60" s="52" t="s">
        <v>67</v>
      </c>
      <c r="U60" s="56">
        <v>11.18</v>
      </c>
      <c r="V60" s="52">
        <v>11.63</v>
      </c>
      <c r="W60" s="56">
        <f t="shared" si="17"/>
        <v>130.02340000000001</v>
      </c>
      <c r="X60" s="52">
        <v>8.4</v>
      </c>
      <c r="Y60" s="56">
        <f t="shared" si="18"/>
        <v>93.912000000000006</v>
      </c>
      <c r="Z60" s="52">
        <v>8.7200000000000006</v>
      </c>
      <c r="AA60" s="56">
        <f t="shared" si="19"/>
        <v>97.48960000000001</v>
      </c>
      <c r="AB60" s="56">
        <f>IF(AND(AS32&lt;TTHH!D82,AS32&lt;&gt;0),TTHH!H82,0)</f>
        <v>36</v>
      </c>
      <c r="AJ60" s="43" t="str" cm="1">
        <f t="array" ref="AJ60:AJ61">Consumos!AA17:AA18</f>
        <v>FW Tk P</v>
      </c>
      <c r="AK60" s="43">
        <f>IF(SUM(Consumos!$AE$16:AE16)&gt;='Condición Día D'!$AL$7, 0, IF(SUM(Consumos!$AE$17:AE17)&lt;='Condición Día D'!$AL$7, Consumos!AF17, Consumos!AB17*('Condición Día D'!$AL$7-SUM(Consumos!$AE$16:AE16))))</f>
        <v>14</v>
      </c>
      <c r="AL60" s="6">
        <f>IFERROR(_xlfn.XLOOKUP(AJ60,'Carga y Reparto'!$AS$92:$AS$93,'Carga y Reparto'!$AT$92:$AT$93),0)</f>
        <v>-0.81</v>
      </c>
      <c r="AM60" s="32">
        <f>IFERROR(AK60*AL60,0)</f>
        <v>-11.34</v>
      </c>
      <c r="AN60" s="29" t="str">
        <v>FW Tk P</v>
      </c>
      <c r="AO60" s="31">
        <v>119.5</v>
      </c>
      <c r="AP60" s="32" cm="1">
        <f t="array" ref="AP60">IFERROR(_xlfn.XLOOKUP(AN60,_xlfn.ANCHORARRAY($AJ$60),$AK$60:$AK$61),0)</f>
        <v>14</v>
      </c>
      <c r="AQ60" s="32">
        <f>AO60-AP60</f>
        <v>105.5</v>
      </c>
      <c r="AR60" s="32" cm="1">
        <f t="array" ref="AR60:AR61">'Carga y Reparto'!Q76:Q77</f>
        <v>1</v>
      </c>
      <c r="AS60" s="32">
        <f>IFERROR(AQ60/AR60,0)</f>
        <v>105.5</v>
      </c>
    </row>
    <row r="61" spans="6:45" x14ac:dyDescent="0.3">
      <c r="T61" s="52" t="s">
        <v>68</v>
      </c>
      <c r="U61" s="56">
        <v>39.96</v>
      </c>
      <c r="V61" s="52">
        <v>11.56</v>
      </c>
      <c r="W61" s="56">
        <f t="shared" si="17"/>
        <v>461.93760000000003</v>
      </c>
      <c r="X61" s="52">
        <v>9.6199999999999992</v>
      </c>
      <c r="Y61" s="56">
        <f t="shared" si="18"/>
        <v>384.41519999999997</v>
      </c>
      <c r="Z61" s="52">
        <v>8.94</v>
      </c>
      <c r="AA61" s="56">
        <f t="shared" si="19"/>
        <v>357.24239999999998</v>
      </c>
      <c r="AB61" s="56">
        <f>IF(AND(AS33&lt;TTHH!D83,AS33&lt;&gt;0),TTHH!H83,0)</f>
        <v>0</v>
      </c>
      <c r="AJ61" s="43">
        <v>0</v>
      </c>
      <c r="AK61" s="43">
        <f>IF(SUM(Consumos!$AE$16:AE17)&gt;='Condición Día D'!$AL$7, 0, IF(SUM(Consumos!$AE$17:AE18)&lt;='Condición Día D'!$AL$7, Consumos!AF18, Consumos!AB18*('Condición Día D'!$AL$7-SUM(Consumos!$AE$16:AE17))))</f>
        <v>0</v>
      </c>
      <c r="AL61" s="6">
        <f>IFERROR(_xlfn.XLOOKUP(AJ61,'Carga y Reparto'!$AS$92:$AS$93,'Carga y Reparto'!$AT$92:$AT$93),0)</f>
        <v>0</v>
      </c>
      <c r="AM61" s="32">
        <f>IFERROR(AK61*AL61,0)</f>
        <v>0</v>
      </c>
      <c r="AN61" s="29" t="str">
        <v>FW Tk S</v>
      </c>
      <c r="AO61" s="31">
        <v>0</v>
      </c>
      <c r="AP61" s="32" cm="1">
        <f t="array" ref="AP61">IFERROR(_xlfn.XLOOKUP(AN61,_xlfn.ANCHORARRAY($AJ$60),$AK$60:$AK$61),0)</f>
        <v>0</v>
      </c>
      <c r="AQ61" s="32">
        <f>AO61-AP61</f>
        <v>0</v>
      </c>
      <c r="AR61" s="32">
        <v>1</v>
      </c>
      <c r="AS61" s="32">
        <f>IFERROR(AQ61/AR61,0)</f>
        <v>0</v>
      </c>
    </row>
    <row r="62" spans="6:45" x14ac:dyDescent="0.3">
      <c r="T62" s="52" t="s">
        <v>69</v>
      </c>
      <c r="U62" s="56">
        <v>0</v>
      </c>
      <c r="V62" s="52">
        <v>1.31</v>
      </c>
      <c r="W62" s="56">
        <f t="shared" si="17"/>
        <v>0</v>
      </c>
      <c r="X62" s="52">
        <v>18</v>
      </c>
      <c r="Y62" s="56">
        <f t="shared" si="18"/>
        <v>0</v>
      </c>
      <c r="Z62" s="52">
        <v>0</v>
      </c>
      <c r="AA62" s="56">
        <f t="shared" si="19"/>
        <v>0</v>
      </c>
      <c r="AB62" s="56">
        <f>IF(AND(AS34&lt;TTHH!D84,AS34&lt;&gt;0),TTHH!H84,0)</f>
        <v>0</v>
      </c>
      <c r="AJ62" s="29" t="s">
        <v>483</v>
      </c>
      <c r="AK62" s="32">
        <f>SUM(_xlfn.ANCHORARRAY('Condición Día D'!AK60))</f>
        <v>14</v>
      </c>
      <c r="AL62" s="32">
        <f>IFERROR(AM62/AK62,0)</f>
        <v>-0.80999999999999994</v>
      </c>
      <c r="AM62" s="32">
        <f>SUM('Condición Día D'!AM60:AM61)</f>
        <v>-11.34</v>
      </c>
    </row>
    <row r="63" spans="6:45" x14ac:dyDescent="0.3">
      <c r="T63" s="52" t="s">
        <v>70</v>
      </c>
      <c r="U63" s="56">
        <v>0</v>
      </c>
      <c r="V63" s="52">
        <v>15.65</v>
      </c>
      <c r="W63" s="56">
        <f t="shared" si="17"/>
        <v>0</v>
      </c>
      <c r="X63" s="52">
        <v>2</v>
      </c>
      <c r="Y63" s="56">
        <f t="shared" si="18"/>
        <v>0</v>
      </c>
      <c r="Z63" s="52">
        <v>3.2</v>
      </c>
      <c r="AA63" s="56">
        <f t="shared" si="19"/>
        <v>0</v>
      </c>
      <c r="AB63" s="56">
        <f>IF(AND(AS35&lt;TTHH!D85,AS35&lt;&gt;0),TTHH!H85,0)</f>
        <v>0</v>
      </c>
    </row>
    <row r="64" spans="6:45" x14ac:dyDescent="0.3">
      <c r="T64" s="52" t="s">
        <v>71</v>
      </c>
      <c r="U64" s="56">
        <v>0</v>
      </c>
      <c r="V64" s="52">
        <v>15.65</v>
      </c>
      <c r="W64" s="56">
        <f t="shared" si="17"/>
        <v>0</v>
      </c>
      <c r="X64" s="52">
        <v>2</v>
      </c>
      <c r="Y64" s="56">
        <f t="shared" si="18"/>
        <v>0</v>
      </c>
      <c r="Z64" s="52">
        <v>4.8</v>
      </c>
      <c r="AA64" s="56">
        <f t="shared" si="19"/>
        <v>0</v>
      </c>
      <c r="AB64" s="56">
        <f>IF(AND(AS36&lt;TTHH!D86,AS36&lt;&gt;0),TTHH!H86,0)</f>
        <v>0</v>
      </c>
    </row>
    <row r="65" spans="20:40" x14ac:dyDescent="0.3">
      <c r="T65" s="52" t="s">
        <v>72</v>
      </c>
      <c r="U65" s="56">
        <v>1.08</v>
      </c>
      <c r="V65" s="52">
        <v>14.8</v>
      </c>
      <c r="W65" s="56">
        <f t="shared" si="17"/>
        <v>15.984000000000002</v>
      </c>
      <c r="X65" s="52">
        <v>1.2</v>
      </c>
      <c r="Y65" s="56">
        <f t="shared" si="18"/>
        <v>1.296</v>
      </c>
      <c r="Z65" s="52">
        <v>-2.9</v>
      </c>
      <c r="AA65" s="56">
        <f t="shared" si="19"/>
        <v>-3.1320000000000001</v>
      </c>
      <c r="AB65" s="56">
        <f>IF(AND(AS37&lt;TTHH!D87,AS37&lt;&gt;0),TTHH!H87,0)</f>
        <v>0</v>
      </c>
    </row>
    <row r="66" spans="20:40" x14ac:dyDescent="0.3">
      <c r="T66" s="52" t="s">
        <v>73</v>
      </c>
      <c r="U66" s="56">
        <v>0.72000000000000008</v>
      </c>
      <c r="V66" s="52">
        <v>14.5</v>
      </c>
      <c r="W66" s="56">
        <f t="shared" si="17"/>
        <v>10.440000000000001</v>
      </c>
      <c r="X66" s="52">
        <v>26.2</v>
      </c>
      <c r="Y66" s="56">
        <f t="shared" si="18"/>
        <v>18.864000000000001</v>
      </c>
      <c r="Z66" s="52">
        <v>-2.8</v>
      </c>
      <c r="AA66" s="56">
        <f t="shared" si="19"/>
        <v>-2.016</v>
      </c>
      <c r="AB66" s="56">
        <f>IF(AND(AS38&lt;TTHH!D88,AS38&lt;&gt;0),TTHH!H88,0)</f>
        <v>0</v>
      </c>
      <c r="AD66" s="29" t="str">
        <f>IF(AE66=1.025,"SW",IF(AE66=1,"FW","BW"))</f>
        <v>SW</v>
      </c>
      <c r="AE66" s="5">
        <f>J8</f>
        <v>1.0249999999999999</v>
      </c>
      <c r="AK66" s="29" t="s">
        <v>318</v>
      </c>
      <c r="AL66" s="43">
        <f ca="1">M18</f>
        <v>10.463149466192171</v>
      </c>
      <c r="AM66"/>
    </row>
    <row r="67" spans="20:40" x14ac:dyDescent="0.3">
      <c r="T67" s="52" t="s">
        <v>74</v>
      </c>
      <c r="U67" s="56">
        <v>0.72000000000000008</v>
      </c>
      <c r="V67" s="52">
        <v>14.5</v>
      </c>
      <c r="W67" s="56">
        <f t="shared" si="17"/>
        <v>10.440000000000001</v>
      </c>
      <c r="X67" s="52">
        <v>26.2</v>
      </c>
      <c r="Y67" s="56">
        <f t="shared" si="18"/>
        <v>18.864000000000001</v>
      </c>
      <c r="Z67" s="52">
        <v>-3.6</v>
      </c>
      <c r="AA67" s="56">
        <f t="shared" si="19"/>
        <v>-2.5920000000000005</v>
      </c>
      <c r="AB67" s="56">
        <f>IF(AND(AS39&lt;TTHH!D89,AS39&lt;&gt;0),TTHH!H89,0)</f>
        <v>0</v>
      </c>
      <c r="AD67" s="29" t="s">
        <v>452</v>
      </c>
      <c r="AE67" s="44">
        <f ca="1">((AL68-X85)*U85)/AL70</f>
        <v>-16.726296169363795</v>
      </c>
      <c r="AF67" s="7" t="str">
        <f ca="1">IF(AE67&lt;0,"Aproante",IF(AE67&gt;0,"Apopante",IF(AE67=0,"Aguas Iguales","")))</f>
        <v>Aproante</v>
      </c>
      <c r="AG67" s="32">
        <f ca="1">ABS(AE67/100)</f>
        <v>0.16726296169363797</v>
      </c>
      <c r="AK67" s="29" t="str">
        <f>IF(AL62=1,"CH fw","CH bw")</f>
        <v>CH bw</v>
      </c>
      <c r="AL67" s="32">
        <f ca="1">AL66+AN69</f>
        <v>10.463149466192171</v>
      </c>
      <c r="AM67" s="29" t="s">
        <v>315</v>
      </c>
      <c r="AN67" s="32">
        <f ca="1">FORECAST(AL66,OFFSET(TTHH!R22,MATCH(AL66,TTHH!J22:J129,1)-1,0,2),OFFSET(TTHH!J22,MATCH(AL66,Tabla22[[#All],[Columna1]],1)-1,0,2))</f>
        <v>56.2</v>
      </c>
    </row>
    <row r="68" spans="20:40" x14ac:dyDescent="0.3">
      <c r="T68" s="54" t="s">
        <v>75</v>
      </c>
      <c r="U68" s="38"/>
      <c r="V68" s="51">
        <v>0</v>
      </c>
      <c r="W68" s="51"/>
      <c r="X68" s="51">
        <v>0</v>
      </c>
      <c r="Y68" s="51"/>
      <c r="Z68" s="51">
        <v>0</v>
      </c>
      <c r="AA68" s="38"/>
      <c r="AB68" s="38"/>
      <c r="AD68" s="29" t="s">
        <v>106</v>
      </c>
      <c r="AE68" s="42">
        <f ca="1">AL67</f>
        <v>10.463149466192171</v>
      </c>
      <c r="AF68" s="7" t="str">
        <f ca="1">IF(AE68&lt;11,"&lt;11",IF(AE68&gt;11,"&gt;11",""))</f>
        <v>&lt;11</v>
      </c>
      <c r="AG68" s="29" t="s">
        <v>459</v>
      </c>
      <c r="AH68" s="32">
        <f ca="1">IF(AF68="&lt;11",TTHH!$S$13,TTHH!$T$13)</f>
        <v>0.85</v>
      </c>
      <c r="AK68" s="29" t="s">
        <v>312</v>
      </c>
      <c r="AL68" s="32">
        <f ca="1">IFERROR(FORECAST(AL67, OFFSET(TTHH!$M$22,MATCH(AL67,TTHH!$J$22:$J$129,1)-1,0,2), OFFSET(TTHH!$J$22,MATCH(AL67,TTHH!$J$22:$J$129,1)-1,0,2)),0)</f>
        <v>98.035795373665479</v>
      </c>
      <c r="AM68" s="29" t="s">
        <v>316</v>
      </c>
      <c r="AN68" s="32">
        <f ca="1">IFERROR(G10/(40*AN67),0)</f>
        <v>23.500400355871886</v>
      </c>
    </row>
    <row r="69" spans="20:40" x14ac:dyDescent="0.3">
      <c r="T69" s="52" t="s">
        <v>76</v>
      </c>
      <c r="U69" s="56" cm="1">
        <f t="array" ref="U69:U70">AQ60:AQ61</f>
        <v>105.5</v>
      </c>
      <c r="V69" s="52">
        <v>15.85</v>
      </c>
      <c r="W69" s="56">
        <f>U69*V69</f>
        <v>1672.175</v>
      </c>
      <c r="X69" s="52">
        <v>-0.81</v>
      </c>
      <c r="Y69" s="56">
        <f>U69*X69</f>
        <v>-85.455000000000013</v>
      </c>
      <c r="Z69" s="52">
        <v>-8.2200000000000006</v>
      </c>
      <c r="AA69" s="56">
        <f>U69*Z69</f>
        <v>-867.21</v>
      </c>
      <c r="AB69" s="56">
        <f>IF(AND(AS60&lt;TTHH!D97,AS60&lt;&gt;0),TTHH!H97,0)</f>
        <v>87</v>
      </c>
      <c r="AG69" s="29" t="s">
        <v>460</v>
      </c>
      <c r="AH69" s="32">
        <f ca="1">IF(AF68="&lt;11",TTHH!$S$12,TTHH!$T$12)</f>
        <v>14.4</v>
      </c>
      <c r="AK69" s="29" t="s">
        <v>313</v>
      </c>
      <c r="AL69" s="32">
        <f ca="1">IFERROR(FORECAST(AL67, OFFSET(TTHH!$O$22,MATCH(AL67,TTHH!$J$22:$J$129,1)-1,0,2), OFFSET(TTHH!$J$22,MATCH(AL67,TTHH!$J$22:$J$129,1)-1,0,2)),0)</f>
        <v>91.368960854092535</v>
      </c>
      <c r="AM69" s="29" t="s">
        <v>317</v>
      </c>
      <c r="AN69" s="32">
        <f ca="1">((AN68*(1.025-J8))/0.025)/100</f>
        <v>0</v>
      </c>
    </row>
    <row r="70" spans="20:40" x14ac:dyDescent="0.3">
      <c r="T70" s="52" t="s">
        <v>77</v>
      </c>
      <c r="U70" s="56">
        <v>0</v>
      </c>
      <c r="V70" s="52">
        <v>15.85</v>
      </c>
      <c r="W70" s="56">
        <f>U70*V70</f>
        <v>0</v>
      </c>
      <c r="X70" s="52">
        <v>-0.81</v>
      </c>
      <c r="Y70" s="56">
        <f>U70*X70</f>
        <v>0</v>
      </c>
      <c r="Z70" s="52">
        <v>8.2200000000000006</v>
      </c>
      <c r="AA70" s="56">
        <f>U70*Z70</f>
        <v>0</v>
      </c>
      <c r="AB70" s="56">
        <f>IF(AND(AS61&lt;TTHH!D98,AS61&lt;&gt;0),TTHH!H98,0)</f>
        <v>0</v>
      </c>
      <c r="AD70" s="29" t="s">
        <v>447</v>
      </c>
      <c r="AE70" s="7" t="str">
        <f>'Calados Act Sal Lleg'!M16</f>
        <v>Ninguno</v>
      </c>
      <c r="AF70" s="44">
        <f>'Calados Act Sal Lleg'!N16</f>
        <v>0</v>
      </c>
      <c r="AG70" s="32">
        <f>AF70/100</f>
        <v>0</v>
      </c>
      <c r="AK70" s="29" t="str">
        <f>IF(AL62=1.025,"Mu","Mu corr x d")</f>
        <v>Mu corr x d</v>
      </c>
      <c r="AL70" s="32">
        <f ca="1">IFERROR(IF(J8=1.015,AL71,(AL71*J8)/1.025),0)</f>
        <v>758.1261387900355</v>
      </c>
    </row>
    <row r="71" spans="20:40" x14ac:dyDescent="0.3">
      <c r="T71" s="54" t="s">
        <v>79</v>
      </c>
      <c r="U71" s="38"/>
      <c r="V71" s="51">
        <v>0</v>
      </c>
      <c r="W71" s="51"/>
      <c r="X71" s="51">
        <v>0</v>
      </c>
      <c r="Y71" s="51"/>
      <c r="Z71" s="51">
        <v>0</v>
      </c>
      <c r="AA71" s="38"/>
      <c r="AB71" s="38"/>
      <c r="AK71" s="29" t="s">
        <v>314</v>
      </c>
      <c r="AL71" s="32">
        <f ca="1">FORECAST(AL67, OFFSET(TTHH!$Q$22,MATCH(AL67,TTHH!$J$22:$J$129,1)-1,0,2), OFFSET(TTHH!$J$22,MATCH(AL67,TTHH!$J$22:$J$129,1)-1,0,2))</f>
        <v>758.1261387900355</v>
      </c>
    </row>
    <row r="72" spans="20:40" x14ac:dyDescent="0.3">
      <c r="T72" s="52" t="s">
        <v>80</v>
      </c>
      <c r="U72" s="56" cm="1">
        <f t="array" ref="U72:U74">AQ44:AQ46</f>
        <v>0</v>
      </c>
      <c r="V72" s="52">
        <v>1.5</v>
      </c>
      <c r="W72" s="56">
        <f>U72*V72</f>
        <v>0</v>
      </c>
      <c r="X72" s="52">
        <v>16.23</v>
      </c>
      <c r="Y72" s="56">
        <f>U72*X72</f>
        <v>0</v>
      </c>
      <c r="Z72" s="52">
        <v>-2.4500000000000002</v>
      </c>
      <c r="AA72" s="56">
        <f>U72*Z72</f>
        <v>0</v>
      </c>
      <c r="AB72" s="56">
        <f>IF(AND(AS44&lt;TTHH!D106,AS44&lt;&gt;0),TTHH!H106,0)</f>
        <v>0</v>
      </c>
      <c r="AD72" s="29" t="s">
        <v>448</v>
      </c>
      <c r="AE72" s="42">
        <f ca="1">AL67+AE75</f>
        <v>10.547014648899038</v>
      </c>
      <c r="AF72" s="29" t="s">
        <v>449</v>
      </c>
      <c r="AG72" s="42">
        <f ca="1">AL67+AG75</f>
        <v>10.379751687205401</v>
      </c>
    </row>
    <row r="73" spans="20:40" x14ac:dyDescent="0.3">
      <c r="T73" s="52" t="s">
        <v>81</v>
      </c>
      <c r="U73" s="56">
        <v>0</v>
      </c>
      <c r="V73" s="52">
        <v>1.46</v>
      </c>
      <c r="W73" s="56">
        <f>U73*V73</f>
        <v>0</v>
      </c>
      <c r="X73" s="52">
        <v>17.25</v>
      </c>
      <c r="Y73" s="56">
        <f>U73*X73</f>
        <v>0</v>
      </c>
      <c r="Z73" s="52">
        <v>2.56</v>
      </c>
      <c r="AA73" s="56">
        <f>U73*Z73</f>
        <v>0</v>
      </c>
      <c r="AB73" s="56">
        <f>IF(AND(AS45&lt;TTHH!D107,AS45&lt;&gt;0),TTHH!H107,0)</f>
        <v>0</v>
      </c>
      <c r="AD73" s="29" t="s">
        <v>374</v>
      </c>
      <c r="AE73" s="42">
        <f ca="1">AE72+AE76+AE77+AE78</f>
        <v>10.568238804329109</v>
      </c>
      <c r="AF73" s="29" t="s">
        <v>375</v>
      </c>
      <c r="AG73" s="42">
        <f ca="1">AG72+AG76+AG77+AG78</f>
        <v>10.414895406978326</v>
      </c>
      <c r="AH73" s="29" t="s">
        <v>376</v>
      </c>
      <c r="AI73" s="42">
        <f ca="1">AL67+AI76+AI78</f>
        <v>10.485149466192171</v>
      </c>
    </row>
    <row r="74" spans="20:40" x14ac:dyDescent="0.3">
      <c r="T74" s="52" t="s">
        <v>82</v>
      </c>
      <c r="U74" s="56">
        <v>0</v>
      </c>
      <c r="V74" s="52">
        <v>1.58</v>
      </c>
      <c r="W74" s="56">
        <f>U74*V74</f>
        <v>0</v>
      </c>
      <c r="X74" s="52">
        <v>8.89</v>
      </c>
      <c r="Y74" s="56">
        <f>U74*X74</f>
        <v>0</v>
      </c>
      <c r="Z74" s="52">
        <v>0</v>
      </c>
      <c r="AA74" s="56">
        <f>U74*Z74</f>
        <v>0</v>
      </c>
      <c r="AB74" s="56">
        <f>IF(AND(AS46&lt;TTHH!D108,AS46&lt;&gt;0),TTHH!H108,0)</f>
        <v>0</v>
      </c>
    </row>
    <row r="75" spans="20:40" x14ac:dyDescent="0.3">
      <c r="T75" s="54" t="s">
        <v>84</v>
      </c>
      <c r="U75" s="38"/>
      <c r="V75" s="51">
        <v>0</v>
      </c>
      <c r="W75" s="51"/>
      <c r="X75" s="51">
        <v>0</v>
      </c>
      <c r="Y75" s="51"/>
      <c r="Z75" s="51">
        <v>0</v>
      </c>
      <c r="AA75" s="38"/>
      <c r="AB75" s="38"/>
      <c r="AD75" s="29" t="s">
        <v>454</v>
      </c>
      <c r="AE75" s="32">
        <f ca="1">IF(AF67="Apopante",(-1)*(AG67-ABS(AG75)),AG67-ABS(AG75))</f>
        <v>8.3865182706868061E-2</v>
      </c>
      <c r="AF75" s="29" t="s">
        <v>457</v>
      </c>
      <c r="AG75" s="32">
        <f ca="1">IF(AF67="Aproante",((-1)*AG67*AL69)/183.25,(AG67*AL69)/183.25)</f>
        <v>-8.3397778986769908E-2</v>
      </c>
    </row>
    <row r="76" spans="20:40" x14ac:dyDescent="0.3">
      <c r="T76" s="52" t="s">
        <v>85</v>
      </c>
      <c r="U76" s="56" cm="1">
        <f t="array" ref="U76:U80">AQ51:AQ55</f>
        <v>0</v>
      </c>
      <c r="V76" s="52">
        <v>3.23</v>
      </c>
      <c r="W76" s="56">
        <f>U76*V76</f>
        <v>0</v>
      </c>
      <c r="X76" s="52">
        <v>7.26</v>
      </c>
      <c r="Y76" s="56">
        <f>U76*X76</f>
        <v>0</v>
      </c>
      <c r="Z76" s="52">
        <v>0</v>
      </c>
      <c r="AA76" s="56">
        <f>U76*Z76</f>
        <v>0</v>
      </c>
      <c r="AB76" s="56">
        <f>IF(AND(AS51&lt;TTHH!D116,AS51&lt;&gt;0),TTHH!H116,0)</f>
        <v>0</v>
      </c>
      <c r="AD76" s="29" t="s">
        <v>109</v>
      </c>
      <c r="AE76" s="42">
        <f>TTHH!$S$11</f>
        <v>2.1999999999999999E-2</v>
      </c>
      <c r="AF76" s="29" t="s">
        <v>109</v>
      </c>
      <c r="AG76" s="42">
        <f>TTHH!$S$11</f>
        <v>2.1999999999999999E-2</v>
      </c>
      <c r="AH76" s="29" t="s">
        <v>109</v>
      </c>
      <c r="AI76" s="42">
        <f>TTHH!$S$11</f>
        <v>2.1999999999999999E-2</v>
      </c>
    </row>
    <row r="77" spans="20:40" x14ac:dyDescent="0.3">
      <c r="T77" s="52" t="s">
        <v>86</v>
      </c>
      <c r="U77" s="56">
        <v>0</v>
      </c>
      <c r="V77" s="52">
        <v>11.61</v>
      </c>
      <c r="W77" s="56">
        <f>U77*V77</f>
        <v>0</v>
      </c>
      <c r="X77" s="52">
        <v>8.9600000000000009</v>
      </c>
      <c r="Y77" s="56">
        <f>U77*X77</f>
        <v>0</v>
      </c>
      <c r="Z77" s="52">
        <v>8.82</v>
      </c>
      <c r="AA77" s="56">
        <f>U77*Z77</f>
        <v>0</v>
      </c>
      <c r="AB77" s="56">
        <f>IF(AND(AS52&lt;TTHH!D117,AS52&lt;&gt;0),TTHH!H117,0)</f>
        <v>0</v>
      </c>
      <c r="AD77" s="29" t="s">
        <v>455</v>
      </c>
      <c r="AE77" s="40">
        <f ca="1">IF(AE75&lt;0,(AG67*AH68)/TTHH!$S$14,(-1)*(AG67*AH68)/TTHH!$S$14)</f>
        <v>-7.7584456992956224E-4</v>
      </c>
      <c r="AF77" s="29" t="s">
        <v>458</v>
      </c>
      <c r="AG77" s="40">
        <f ca="1">IF(AG75&lt;0,(AG67*AH69)/TTHH!$S$14,(-1)*(AG67*AH69)/TTHH!$S$14)</f>
        <v>1.3143719772924348E-2</v>
      </c>
    </row>
    <row r="78" spans="20:40" x14ac:dyDescent="0.3">
      <c r="T78" s="52" t="s">
        <v>87</v>
      </c>
      <c r="U78" s="56">
        <v>0</v>
      </c>
      <c r="V78" s="52">
        <v>1.27</v>
      </c>
      <c r="W78" s="56">
        <f>U78*V78</f>
        <v>0</v>
      </c>
      <c r="X78" s="52">
        <v>23.4</v>
      </c>
      <c r="Y78" s="56">
        <f>U78*X78</f>
        <v>0</v>
      </c>
      <c r="Z78" s="52">
        <v>3.18</v>
      </c>
      <c r="AA78" s="56">
        <f>U78*Z78</f>
        <v>0</v>
      </c>
      <c r="AB78" s="56">
        <f>IF(AND(AS53&lt;TTHH!D118,AS53&lt;&gt;0),TTHH!H118,0)</f>
        <v>0</v>
      </c>
      <c r="AD78" s="29" t="s">
        <v>456</v>
      </c>
      <c r="AE78" s="32">
        <f>IF(AE70="Ninguno",0,IF(AE70="Arrufo",(-3/4)*AG70,IF(AE70="Quebranto",(3/4)*AG70,0)))</f>
        <v>0</v>
      </c>
      <c r="AF78" s="29" t="s">
        <v>456</v>
      </c>
      <c r="AG78" s="32">
        <f>IF(AE70="Ninguno",0,IF(AE70="Arrufo",(-3/4)*AG70,IF(AE70="Quebranto",(3/4)*AG70,0)))</f>
        <v>0</v>
      </c>
      <c r="AH78" s="29" t="s">
        <v>456</v>
      </c>
      <c r="AI78" s="32">
        <f>IF(AE70="Ninguno",0,IF(AE70="Arrufo",(1/4)*AG70,IF(AE70="Quebranto",(-1/4)*AG70,0)))</f>
        <v>0</v>
      </c>
    </row>
    <row r="79" spans="20:40" x14ac:dyDescent="0.3">
      <c r="T79" s="52" t="s">
        <v>88</v>
      </c>
      <c r="U79" s="56">
        <v>0</v>
      </c>
      <c r="V79" s="52">
        <v>1.34</v>
      </c>
      <c r="W79" s="56">
        <f>U79*V79</f>
        <v>0</v>
      </c>
      <c r="X79" s="52">
        <v>11.95</v>
      </c>
      <c r="Y79" s="56">
        <f>U79*X79</f>
        <v>0</v>
      </c>
      <c r="Z79" s="52">
        <v>-0.18</v>
      </c>
      <c r="AA79" s="56">
        <f>U79*Z79</f>
        <v>0</v>
      </c>
      <c r="AB79" s="56">
        <f>IF(AND(AS54&lt;TTHH!D119,AS54&lt;&gt;0),TTHH!H119,0)</f>
        <v>0</v>
      </c>
    </row>
    <row r="80" spans="20:40" x14ac:dyDescent="0.3">
      <c r="T80" s="52" t="s">
        <v>89</v>
      </c>
      <c r="U80" s="56">
        <v>0</v>
      </c>
      <c r="V80" s="52">
        <v>1.28</v>
      </c>
      <c r="W80" s="56">
        <f>U80*V80</f>
        <v>0</v>
      </c>
      <c r="X80" s="52">
        <v>13.21</v>
      </c>
      <c r="Y80" s="56">
        <f>U80*X80</f>
        <v>0</v>
      </c>
      <c r="Z80" s="52">
        <v>1.03</v>
      </c>
      <c r="AA80" s="56">
        <f>U80*Z80</f>
        <v>0</v>
      </c>
      <c r="AB80" s="56">
        <f>IF(AND(AS55&lt;TTHH!D120,AS55&lt;&gt;0),TTHH!H120,0)</f>
        <v>0</v>
      </c>
    </row>
    <row r="81" spans="20:28" x14ac:dyDescent="0.3">
      <c r="T81" s="38"/>
      <c r="U81" s="38"/>
      <c r="V81" s="38"/>
      <c r="W81" s="38"/>
      <c r="X81" s="38"/>
      <c r="Y81" s="38"/>
      <c r="Z81" s="38"/>
      <c r="AA81" s="38"/>
      <c r="AB81" s="38"/>
    </row>
    <row r="82" spans="20:28" x14ac:dyDescent="0.3">
      <c r="T82" s="52" t="s">
        <v>385</v>
      </c>
      <c r="U82" s="52">
        <f>TTHH!K12</f>
        <v>11044.1</v>
      </c>
      <c r="V82" s="52">
        <f>TTHH!K14</f>
        <v>11.85</v>
      </c>
      <c r="W82" s="56">
        <f>U82*V82</f>
        <v>130872.58500000001</v>
      </c>
      <c r="X82" s="52">
        <f>TTHH!K13</f>
        <v>84.08</v>
      </c>
      <c r="Y82" s="56">
        <f>X82*U82</f>
        <v>928587.92799999996</v>
      </c>
      <c r="Z82" s="52">
        <v>0</v>
      </c>
      <c r="AA82" s="56">
        <f>U82*Z82</f>
        <v>0</v>
      </c>
      <c r="AB82" s="18"/>
    </row>
    <row r="83" spans="20:28" x14ac:dyDescent="0.3">
      <c r="T83" s="52" t="s">
        <v>461</v>
      </c>
      <c r="U83" s="56" cm="1">
        <f t="array" ref="U83:AA83">_xlfn.ANCHORARRAY('Condición Salida'!U83)</f>
        <v>21</v>
      </c>
      <c r="V83" s="56">
        <v>16.428571428571427</v>
      </c>
      <c r="W83" s="56">
        <v>345</v>
      </c>
      <c r="X83" s="56">
        <v>65.714285714285708</v>
      </c>
      <c r="Y83" s="56">
        <v>1380</v>
      </c>
      <c r="Z83" s="56">
        <v>7.1428571428571432</v>
      </c>
      <c r="AA83" s="56">
        <v>150</v>
      </c>
      <c r="AB83" s="18"/>
    </row>
    <row r="84" spans="20:28" x14ac:dyDescent="0.3">
      <c r="T84" s="38"/>
      <c r="U84" s="52" t="s">
        <v>3</v>
      </c>
      <c r="V84" s="52" t="s">
        <v>17</v>
      </c>
      <c r="W84" s="52" t="s">
        <v>382</v>
      </c>
      <c r="X84" s="52" t="s">
        <v>15</v>
      </c>
      <c r="Y84" s="52" t="s">
        <v>383</v>
      </c>
      <c r="Z84" s="52" t="s">
        <v>16</v>
      </c>
      <c r="AA84" s="52" t="s">
        <v>384</v>
      </c>
      <c r="AB84" s="52" t="s">
        <v>4</v>
      </c>
    </row>
    <row r="85" spans="20:28" x14ac:dyDescent="0.3">
      <c r="T85" s="54" t="s">
        <v>386</v>
      </c>
      <c r="U85" s="56">
        <f ca="1">SUM(U11:U83)</f>
        <v>52828.9</v>
      </c>
      <c r="V85" s="56">
        <f ca="1">IFERROR(W85/U85,0)</f>
        <v>10.13494329904124</v>
      </c>
      <c r="W85" s="56">
        <f ca="1">SUM(W11:W83)</f>
        <v>535417.90605071979</v>
      </c>
      <c r="X85" s="56">
        <f ca="1">IFERROR(Y85/U85,0)</f>
        <v>98.275827672864182</v>
      </c>
      <c r="Y85" s="56">
        <f ca="1">SUM(Y11:Y83)</f>
        <v>5191803.8725469746</v>
      </c>
      <c r="Z85" s="56">
        <f ca="1">IFERROR(AA85/U85,0)</f>
        <v>3.5836044487013725E-2</v>
      </c>
      <c r="AA85" s="56">
        <f ca="1">SUM(AA11:AA83)</f>
        <v>1893.1788105999995</v>
      </c>
      <c r="AB85" s="56">
        <f>SUM(AB17:AB83)</f>
        <v>848</v>
      </c>
    </row>
  </sheetData>
  <conditionalFormatting sqref="F54:G56">
    <cfRule type="expression" dxfId="137" priority="1">
      <formula>$O$10="Ocultar"</formula>
    </cfRule>
  </conditionalFormatting>
  <conditionalFormatting sqref="F42:I52">
    <cfRule type="expression" dxfId="136" priority="4">
      <formula>$O$10="Ocultar"</formula>
    </cfRule>
  </conditionalFormatting>
  <conditionalFormatting sqref="F36:P40">
    <cfRule type="expression" dxfId="135" priority="10">
      <formula>$O$10="Ocultar"</formula>
    </cfRule>
  </conditionalFormatting>
  <conditionalFormatting sqref="O12:P15 L12:M18">
    <cfRule type="expression" dxfId="134" priority="36">
      <formula>$O$10="Ocultar"</formula>
    </cfRule>
  </conditionalFormatting>
  <conditionalFormatting sqref="AD66:AD68">
    <cfRule type="expression" dxfId="133" priority="21">
      <formula>$K$22="Ocultar"</formula>
    </cfRule>
  </conditionalFormatting>
  <conditionalFormatting sqref="AD70">
    <cfRule type="expression" dxfId="132" priority="20">
      <formula>$K$22="Ocultar"</formula>
    </cfRule>
  </conditionalFormatting>
  <conditionalFormatting sqref="AD72:AG73">
    <cfRule type="expression" dxfId="131" priority="15">
      <formula>$K$22="Ocultar"</formula>
    </cfRule>
  </conditionalFormatting>
  <conditionalFormatting sqref="AE66">
    <cfRule type="expression" dxfId="130" priority="33">
      <formula>$O$22="Pt. Da Buitra"</formula>
    </cfRule>
  </conditionalFormatting>
  <conditionalFormatting sqref="AE67:AE68">
    <cfRule type="expression" dxfId="129" priority="12">
      <formula>$K$22="Ocultar"</formula>
    </cfRule>
  </conditionalFormatting>
  <conditionalFormatting sqref="AF70">
    <cfRule type="expression" dxfId="128" priority="24">
      <formula>$K$22="Ocultar"</formula>
    </cfRule>
  </conditionalFormatting>
  <conditionalFormatting sqref="AG67:AH70 AD75:AG75 AD76:AI76 AD77:AG77 AD78:AI78">
    <cfRule type="expression" dxfId="127" priority="32">
      <formula>$K$22="Ocultar"</formula>
    </cfRule>
  </conditionalFormatting>
  <conditionalFormatting sqref="AH73:AI73">
    <cfRule type="expression" dxfId="126" priority="14">
      <formula>$K$22="Ocultar"</formula>
    </cfRule>
  </conditionalFormatting>
  <conditionalFormatting sqref="AJ7:AM62">
    <cfRule type="expression" dxfId="125" priority="103">
      <formula>$P$6="Ocultar"</formula>
    </cfRule>
  </conditionalFormatting>
  <conditionalFormatting sqref="AJ7:AS71 AD66:AI78">
    <cfRule type="expression" dxfId="124" priority="11">
      <formula>$O$10="Ocultar"</formula>
    </cfRule>
  </conditionalFormatting>
  <conditionalFormatting sqref="AK66:AK70">
    <cfRule type="expression" dxfId="123" priority="26">
      <formula>$L$22="Ocultar"</formula>
    </cfRule>
  </conditionalFormatting>
  <conditionalFormatting sqref="AL66">
    <cfRule type="expression" dxfId="122" priority="27">
      <formula>$P$6="Ocultar"</formula>
    </cfRule>
  </conditionalFormatting>
  <conditionalFormatting sqref="AL67:AL70">
    <cfRule type="expression" dxfId="121" priority="25">
      <formula>$L$22="Ocultar"</formula>
    </cfRule>
  </conditionalFormatting>
  <conditionalFormatting sqref="AM67:AN69 AK71:AL71">
    <cfRule type="expression" dxfId="120" priority="29">
      <formula>$L$22="Ocultar"</formula>
    </cfRule>
  </conditionalFormatting>
  <conditionalFormatting sqref="AN22:AN25">
    <cfRule type="expression" dxfId="119" priority="87">
      <formula>$P$6="Ocultar"</formula>
    </cfRule>
  </conditionalFormatting>
  <conditionalFormatting sqref="AN30:AN39">
    <cfRule type="expression" dxfId="118" priority="85">
      <formula>$P$6="Ocultar"</formula>
    </cfRule>
  </conditionalFormatting>
  <conditionalFormatting sqref="AN44:AN46">
    <cfRule type="expression" dxfId="117" priority="83">
      <formula>$P$6="Ocultar"</formula>
    </cfRule>
  </conditionalFormatting>
  <conditionalFormatting sqref="AN51:AN55">
    <cfRule type="expression" dxfId="116" priority="81">
      <formula>$P$6="Ocultar"</formula>
    </cfRule>
  </conditionalFormatting>
  <conditionalFormatting sqref="AN60:AN61">
    <cfRule type="expression" dxfId="115" priority="79">
      <formula>$P$6="Ocultar"</formula>
    </cfRule>
  </conditionalFormatting>
  <conditionalFormatting sqref="AN9:AS17">
    <cfRule type="expression" dxfId="114" priority="42">
      <formula>$P$6="Ocultar"</formula>
    </cfRule>
  </conditionalFormatting>
  <conditionalFormatting sqref="AO8:AS8">
    <cfRule type="expression" dxfId="113" priority="53">
      <formula>$P$6="Ocultar"</formula>
    </cfRule>
  </conditionalFormatting>
  <conditionalFormatting sqref="AO21:AS25">
    <cfRule type="expression" dxfId="112" priority="41">
      <formula>$P$6="Ocultar"</formula>
    </cfRule>
  </conditionalFormatting>
  <conditionalFormatting sqref="AO29:AS39">
    <cfRule type="expression" dxfId="111" priority="40">
      <formula>$P$6="Ocultar"</formula>
    </cfRule>
  </conditionalFormatting>
  <conditionalFormatting sqref="AO43:AS46">
    <cfRule type="expression" dxfId="110" priority="39">
      <formula>$P$6="Ocultar"</formula>
    </cfRule>
  </conditionalFormatting>
  <conditionalFormatting sqref="AO50:AS55">
    <cfRule type="expression" dxfId="109" priority="38">
      <formula>$P$6="Ocultar"</formula>
    </cfRule>
  </conditionalFormatting>
  <conditionalFormatting sqref="AO59:AS61">
    <cfRule type="expression" dxfId="108" priority="37">
      <formula>$P$6="Ocultar"</formula>
    </cfRule>
  </conditionalFormatting>
  <dataValidations count="2">
    <dataValidation type="list" allowBlank="1" showInputMessage="1" showErrorMessage="1" sqref="O10" xr:uid="{A0AB021E-F3E9-4641-A8FA-E89BC90C881E}">
      <formula1>"Ver Cuentas, Ocultar"</formula1>
    </dataValidation>
    <dataValidation type="list" allowBlank="1" showInputMessage="1" showErrorMessage="1" sqref="AE70" xr:uid="{EDBEAE78-1055-4E57-92D8-32F9AAF19E4C}">
      <formula1>"Ninguno,Arrufo,Quebranto"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3641-AE55-4FEB-BAB1-E1FE12FF673E}">
  <sheetPr>
    <tabColor rgb="FF223B82"/>
  </sheetPr>
  <dimension ref="F10:AH85"/>
  <sheetViews>
    <sheetView tabSelected="1" topLeftCell="E7" workbookViewId="0">
      <selection activeCell="F24" sqref="F24:G28"/>
    </sheetView>
    <sheetView workbookViewId="1"/>
  </sheetViews>
  <sheetFormatPr baseColWidth="10" defaultRowHeight="14.4" x14ac:dyDescent="0.3"/>
  <cols>
    <col min="1" max="16384" width="11.5546875" style="8"/>
  </cols>
  <sheetData>
    <row r="10" spans="6:33" x14ac:dyDescent="0.3">
      <c r="F10" s="54" t="s">
        <v>504</v>
      </c>
      <c r="G10" s="56">
        <f ca="1">U85</f>
        <v>52467.717599240743</v>
      </c>
      <c r="I10" s="52" t="s">
        <v>521</v>
      </c>
      <c r="J10" s="56">
        <f ca="1">IFERROR(DEGREES(ATAN(Z85)/G16),0)</f>
        <v>0.45171733861765651</v>
      </c>
      <c r="O10" s="57" t="s">
        <v>581</v>
      </c>
      <c r="T10" s="54" t="s">
        <v>11</v>
      </c>
      <c r="U10" s="52" t="s">
        <v>3</v>
      </c>
      <c r="V10" s="52" t="s">
        <v>17</v>
      </c>
      <c r="W10" s="52" t="s">
        <v>382</v>
      </c>
      <c r="X10" s="52" t="s">
        <v>15</v>
      </c>
      <c r="Y10" s="52" t="s">
        <v>383</v>
      </c>
      <c r="Z10" s="52" t="s">
        <v>16</v>
      </c>
      <c r="AA10" s="52" t="s">
        <v>384</v>
      </c>
      <c r="AB10" s="52" t="s">
        <v>4</v>
      </c>
      <c r="AD10" s="54" t="s">
        <v>11</v>
      </c>
      <c r="AE10" s="52" t="s">
        <v>387</v>
      </c>
      <c r="AF10" s="52" t="s">
        <v>354</v>
      </c>
      <c r="AG10" s="52" t="s">
        <v>388</v>
      </c>
    </row>
    <row r="11" spans="6:33" x14ac:dyDescent="0.3">
      <c r="F11" s="52" t="s">
        <v>514</v>
      </c>
      <c r="G11" s="56">
        <f ca="1">V85</f>
        <v>10.115496340057817</v>
      </c>
      <c r="I11" s="54" t="s">
        <v>380</v>
      </c>
      <c r="T11" s="52" t="s">
        <v>6</v>
      </c>
      <c r="U11" s="56" cm="1">
        <f t="array" aca="1" ref="U11:U15" ca="1">_xlfn.ANCHORARRAY('Carga y Reparto'!Z16)</f>
        <v>10453.033452397769</v>
      </c>
      <c r="V11" s="56">
        <f ca="1">IFERROR(FORECAST('Carga y Reparto'!AC9, OFFSET(TTHH!$AB$10, MATCH('Carga y Reparto'!AC9,TTHH!$Y$10:$Y$99,-1)-1, 0, 2), OFFSET(TTHH!$Y$10, MATCH('Carga y Reparto'!AC9,TTHH!$Y$10:$Y$99,-1)-1, 0, 2)),0)</f>
        <v>10.119999999999999</v>
      </c>
      <c r="W11" s="56">
        <f ca="1">U11*V11</f>
        <v>105784.69853826541</v>
      </c>
      <c r="X11" s="56">
        <f ca="1">IFERROR(FORECAST('Carga y Reparto'!AF74, OFFSET(TTHH!$AA$10,MATCH('Carga y Reparto'!AF74,TTHH!$Y$10:$Y$99,-1)-1,0,2), OFFSET(TTHH!$Y$10,MATCH('Carga y Reparto'!AF74,TTHH!$Y$10:$Y$99,-1)-1,0,2)),0)</f>
        <v>158.59</v>
      </c>
      <c r="Y11" s="56">
        <f ca="1">U11*X11</f>
        <v>1657746.5752157622</v>
      </c>
      <c r="Z11" s="52" cm="1">
        <f t="array" ref="Z11:Z15">TTHH!F9:F13</f>
        <v>0</v>
      </c>
      <c r="AA11" s="56">
        <f ca="1">U11*Z11</f>
        <v>0</v>
      </c>
      <c r="AB11" s="18"/>
      <c r="AD11" s="52" t="s">
        <v>6</v>
      </c>
      <c r="AE11" s="56">
        <f ca="1">IFERROR(FORECAST('Carga y Reparto'!AC9, OFFSET(TTHH!Z10, MATCH('Carga y Reparto'!AC9,TTHH!$Y$10:$Y$99,-1)-1, 0, 2), OFFSET(TTHH!$Y$10, MATCH('Carga y Reparto'!AC9,TTHH!$Y$10:$Y$99,-1)-1, 0, 2)),0)</f>
        <v>536</v>
      </c>
      <c r="AF11" s="56" cm="1">
        <f t="array" ref="AF11:AF15">'Carga y Reparto'!AF80:AF84</f>
        <v>1.1892720000000001</v>
      </c>
      <c r="AG11" s="56">
        <f ca="1">IFERROR(AE11/AF11,0)</f>
        <v>450.69588790453315</v>
      </c>
    </row>
    <row r="12" spans="6:33" x14ac:dyDescent="0.3">
      <c r="F12" s="52" t="s">
        <v>515</v>
      </c>
      <c r="G12" s="56">
        <f ca="1">G11+M12</f>
        <v>10.138330838199153</v>
      </c>
      <c r="I12" s="52" t="s">
        <v>374</v>
      </c>
      <c r="J12" s="56">
        <f ca="1">'Calados Act Sal Lleg'!T19</f>
        <v>10.931331010147822</v>
      </c>
      <c r="L12" s="29" t="s">
        <v>370</v>
      </c>
      <c r="M12" s="40">
        <f ca="1">IFERROR(AB85/U85,"")</f>
        <v>2.283449814133591E-2</v>
      </c>
      <c r="O12" s="29" t="s">
        <v>393</v>
      </c>
      <c r="P12" s="32">
        <f ca="1">IFERROR(AG17/G10,"")</f>
        <v>0.62275906782417778</v>
      </c>
      <c r="T12" s="52" t="s">
        <v>7</v>
      </c>
      <c r="U12" s="56">
        <f ca="1"/>
        <v>6666.7965382446964</v>
      </c>
      <c r="V12" s="56">
        <f ca="1">IFERROR(FORECAST('Carga y Reparto'!AC10, OFFSET(TTHH!$AI$10,MATCH('Carga y Reparto'!AC10,TTHH!$AF$10:$AF$100,-1)-1,0,2), OFFSET(TTHH!$AF$10,MATCH('Carga y Reparto'!AC10,TTHH!$AF$10:$AF$100,-1)-1,0,2)),0)</f>
        <v>7.1807724616872548</v>
      </c>
      <c r="W12" s="56">
        <f ca="1">U12*V12</f>
        <v>47872.748989499436</v>
      </c>
      <c r="X12" s="56">
        <f ca="1">IFERROR(FORECAST('Carga y Reparto'!AF75, OFFSET(TTHH!$AH$10,MATCH('Carga y Reparto'!AF75,TTHH!$AF$10:$AF$100,-1)-1,0,2), OFFSET(TTHH!$AF$10,MATCH('Carga y Reparto'!AF75,TTHH!$AF$10:$AF$100,-1)-1,0,2)),0)</f>
        <v>130.02000000000001</v>
      </c>
      <c r="Y12" s="56">
        <f ca="1">U12*X12</f>
        <v>866816.88590257545</v>
      </c>
      <c r="Z12" s="52">
        <v>0</v>
      </c>
      <c r="AA12" s="56">
        <f ca="1">U12*Z12</f>
        <v>0</v>
      </c>
      <c r="AB12" s="18"/>
      <c r="AD12" s="52" t="s">
        <v>7</v>
      </c>
      <c r="AE12" s="56">
        <f ca="1">IFERROR(FORECAST('Carga y Reparto'!AC10, OFFSET(TTHH!AG10,MATCH('Carga y Reparto'!AC10,TTHH!$AF$10:$AF$100,-1)-1,0,2), OFFSET(TTHH!$AF$10,MATCH('Carga y Reparto'!AC10,TTHH!$AF$10:$AF$100,-1)-1,0,2)),0)</f>
        <v>25996.562545491717</v>
      </c>
      <c r="AF12" s="56">
        <v>1.2742200000000001</v>
      </c>
      <c r="AG12" s="56">
        <f ca="1">IFERROR(AE12/AF12,0)</f>
        <v>20401.942008045484</v>
      </c>
    </row>
    <row r="13" spans="6:33" x14ac:dyDescent="0.3">
      <c r="F13" s="52" t="s">
        <v>516</v>
      </c>
      <c r="G13" s="56">
        <f ca="1">X85</f>
        <v>98.837342314669769</v>
      </c>
      <c r="I13" s="52" t="s">
        <v>375</v>
      </c>
      <c r="J13" s="56">
        <f ca="1">'Calados Act Sal Lleg'!V19</f>
        <v>10.409809638462141</v>
      </c>
      <c r="L13" s="29" t="s">
        <v>390</v>
      </c>
      <c r="M13" s="40">
        <f ca="1">IFERROR(FORECAST(M18, OFFSET(TTHH!CR10, MATCH(M18,Tabla4[[#All],[Columna1]],1)-1, 0, 2), OFFSET(TTHH!CL10, MATCH(M18,Tabla4[[#All],[Columna1]],1)-1, 0, 2)),"")</f>
        <v>9.2503359572598551</v>
      </c>
      <c r="O13" s="29" t="s">
        <v>394</v>
      </c>
      <c r="P13" s="32">
        <f ca="1">IFERROR(0.8*P12,"")</f>
        <v>0.49820725425934226</v>
      </c>
      <c r="T13" s="52" t="s">
        <v>8</v>
      </c>
      <c r="U13" s="56">
        <f ca="1"/>
        <v>11226.447776454837</v>
      </c>
      <c r="V13" s="56">
        <f ca="1">IFERROR(FORECAST('Carga y Reparto'!AC11, OFFSET(TTHH!$AP$10,MATCH('Carga y Reparto'!AC11,TTHH!$AM$10:$AM$100,-1)-1,0,2), OFFSET(TTHH!$AM$10,MATCH('Carga y Reparto'!AC11,TTHH!$AM$10:$AM$100,-1)-1,0,2)),0)</f>
        <v>10.210000000000001</v>
      </c>
      <c r="W13" s="56">
        <f ca="1">U13*V13</f>
        <v>114622.03179760389</v>
      </c>
      <c r="X13" s="56">
        <f ca="1">IFERROR(FORECAST('Carga y Reparto'!AF76, OFFSET(TTHH!$AO$10,MATCH('Carga y Reparto'!AF76,TTHH!$AM$10:$AM$100,-1)-1,0,2), OFFSET(TTHH!$AM$10,MATCH('Carga y Reparto'!AF76,TTHH!$AM$10:$AM$100,-1)-1,0,2)),0)</f>
        <v>101.22</v>
      </c>
      <c r="Y13" s="56">
        <f ca="1">U13*X13</f>
        <v>1136341.0439327587</v>
      </c>
      <c r="Z13" s="52">
        <v>0</v>
      </c>
      <c r="AA13" s="56">
        <f ca="1">U13*Z13</f>
        <v>0</v>
      </c>
      <c r="AB13" s="18"/>
      <c r="AD13" s="52" t="s">
        <v>8</v>
      </c>
      <c r="AE13" s="56">
        <f ca="1">IFERROR(FORECAST('Carga y Reparto'!AC11, OFFSET(TTHH!AN10,MATCH('Carga y Reparto'!AC11,TTHH!$AM$10:$AM$100,-1)-1,0,2), OFFSET(TTHH!$AM$10,MATCH('Carga y Reparto'!AC11,TTHH!$AM$10:$AM$100,-1)-1,0,2)),0)</f>
        <v>688</v>
      </c>
      <c r="AF13" s="56">
        <v>1.1892720000000001</v>
      </c>
      <c r="AG13" s="56">
        <f ca="1">IFERROR(AE13/AF13,0)</f>
        <v>578.50516954910222</v>
      </c>
    </row>
    <row r="14" spans="6:33" x14ac:dyDescent="0.3">
      <c r="F14" s="52" t="s">
        <v>517</v>
      </c>
      <c r="G14" s="56">
        <f ca="1">Z85</f>
        <v>2.9747087679007508E-2</v>
      </c>
      <c r="I14" s="52" t="s">
        <v>376</v>
      </c>
      <c r="J14" s="56">
        <f ca="1">'Calados Act Sal Lleg'!X19</f>
        <v>10.420877005347597</v>
      </c>
      <c r="L14" s="29" t="s">
        <v>391</v>
      </c>
      <c r="M14" s="40">
        <f ca="1">IFERROR(FORECAST(M18, OFFSET(TTHH!P22, MATCH(M18,Tabla22[[#All],[Columna1]],1)-1, 0, 2), OFFSET(TTHH!J22, MATCH(M18,Tabla22[[#All],[Columna1]],1)-1, 0, 2)),"")</f>
        <v>13.910335957259854</v>
      </c>
      <c r="O14" s="29" t="s">
        <v>395</v>
      </c>
      <c r="P14" s="32">
        <f ca="1">IFERROR(M13-G12*SIN(RADIANS(40))-ABS(Z85)*COS(RADIANS(40)),"")</f>
        <v>2.7107549203470169</v>
      </c>
      <c r="T14" s="52" t="s">
        <v>9</v>
      </c>
      <c r="U14" s="56">
        <f ca="1"/>
        <v>971.62247758777448</v>
      </c>
      <c r="V14" s="56">
        <f ca="1">IFERROR(FORECAST('Carga y Reparto'!AC12, OFFSET(TTHH!$AW$10,MATCH('Carga y Reparto'!AC12,TTHH!$AT$10:$AT$100,-1)-1,0,2), OFFSET(TTHH!$AT$10,MATCH('Carga y Reparto'!AC12,TTHH!$AT$10:$AT$100,-1)-1,0,2)),0)</f>
        <v>2.6451242211056494</v>
      </c>
      <c r="W14" s="56">
        <f ca="1">U14*V14</f>
        <v>2570.0621492381033</v>
      </c>
      <c r="X14" s="56">
        <f ca="1">IFERROR(FORECAST('Carga y Reparto'!AF77, OFFSET(TTHH!$AV$10,MATCH('Carga y Reparto'!AF77,TTHH!$AT$10:$AT$100,-1)-1,0,2), OFFSET(TTHH!$AT$10,MATCH('Carga y Reparto'!AF77,TTHH!$AT$10:$AT$100,-1)-1,0,2)),0)</f>
        <v>72.400000000000006</v>
      </c>
      <c r="Y14" s="56">
        <f ca="1">U14*X14</f>
        <v>70345.467377354871</v>
      </c>
      <c r="Z14" s="52">
        <v>0</v>
      </c>
      <c r="AA14" s="56">
        <f ca="1">U14*Z14</f>
        <v>0</v>
      </c>
      <c r="AB14" s="18"/>
      <c r="AD14" s="52" t="s">
        <v>9</v>
      </c>
      <c r="AE14" s="56">
        <f ca="1">IFERROR(FORECAST('Carga y Reparto'!AC12, OFFSET(TTHH!AU10,MATCH('Carga y Reparto'!AC12,TTHH!$AT$10:$AT$100,-1)-1,0,2), OFFSET(TTHH!$AT$10,MATCH('Carga y Reparto'!AC12,TTHH!$AT$10:$AT$100,-1)-1,0,2)),0)</f>
        <v>12584.816428142238</v>
      </c>
      <c r="AF14" s="56">
        <v>1.18</v>
      </c>
      <c r="AG14" s="56">
        <f ca="1">IFERROR(AE14/AF14,0)</f>
        <v>10665.098667917151</v>
      </c>
    </row>
    <row r="15" spans="6:33" x14ac:dyDescent="0.3">
      <c r="F15" s="52" t="s">
        <v>370</v>
      </c>
      <c r="G15" s="56">
        <f ca="1">M12</f>
        <v>2.283449814133591E-2</v>
      </c>
      <c r="I15" s="54" t="s">
        <v>381</v>
      </c>
      <c r="J15" s="41"/>
      <c r="L15" s="29" t="s">
        <v>392</v>
      </c>
      <c r="M15" s="40">
        <f ca="1">IFERROR(M14-G11,"")</f>
        <v>3.7948396172020367</v>
      </c>
      <c r="O15" s="29" t="s">
        <v>396</v>
      </c>
      <c r="P15" s="32">
        <f ca="1">IFERROR(RADIANS(((P14-P13)*(40-M17))/2),"")</f>
        <v>0.59131162758197686</v>
      </c>
      <c r="T15" s="52" t="s">
        <v>10</v>
      </c>
      <c r="U15" s="56">
        <f ca="1"/>
        <v>11154.218715314913</v>
      </c>
      <c r="V15" s="56">
        <f ca="1">IFERROR(FORECAST('Carga y Reparto'!AC13, OFFSET(TTHH!$BD$10,MATCH('Carga y Reparto'!AC13,TTHH!$BA$10:$BA$100,-1)-1,0,2), OFFSET(TTHH!$BA$10,MATCH('Carga y Reparto'!AC13,TTHH!$BA$10:$BA$100,-1)-1,0,2)),0)</f>
        <v>10.52</v>
      </c>
      <c r="W15" s="56">
        <f ca="1">U15*V15</f>
        <v>117342.38088511289</v>
      </c>
      <c r="X15" s="56">
        <f ca="1">IFERROR(FORECAST('Carga y Reparto'!AF78, OFFSET(TTHH!$BC$10,MATCH('Carga y Reparto'!AF78,TTHH!$BA$10:$BA$100,-1)-1,0,2), OFFSET(TTHH!$BA$10,MATCH('Carga y Reparto'!AF78,TTHH!$BA$10:$BA$100,-1)-1,0,2)),0)</f>
        <v>43.26</v>
      </c>
      <c r="Y15" s="56">
        <f ca="1">U15*X15</f>
        <v>482531.50162452314</v>
      </c>
      <c r="Z15" s="52">
        <v>0</v>
      </c>
      <c r="AA15" s="56">
        <f ca="1">U15*Z15</f>
        <v>0</v>
      </c>
      <c r="AB15" s="18"/>
      <c r="AD15" s="52" t="s">
        <v>10</v>
      </c>
      <c r="AE15" s="56">
        <f ca="1">IFERROR(FORECAST('Carga y Reparto'!AC13, OFFSET(TTHH!BB10,MATCH('Carga y Reparto'!AC13,TTHH!$BA$10:$BA$100,-1)-1,0,2), OFFSET(TTHH!$BA$10,MATCH('Carga y Reparto'!AC13,TTHH!$BA$10:$BA$100,-1)-1,0,2)),0)</f>
        <v>688</v>
      </c>
      <c r="AF15" s="56">
        <v>1.1892720000000001</v>
      </c>
      <c r="AG15" s="56">
        <f ca="1">IFERROR(AE15/AF15,0)</f>
        <v>578.50516954910222</v>
      </c>
    </row>
    <row r="16" spans="6:33" x14ac:dyDescent="0.3">
      <c r="F16" s="52" t="s">
        <v>518</v>
      </c>
      <c r="G16" s="26">
        <f ca="1">IFERROR(M15-M12,0)</f>
        <v>3.7720051190607009</v>
      </c>
      <c r="I16" s="52" t="s">
        <v>377</v>
      </c>
      <c r="J16" s="56">
        <f ca="1">'Calados Act Sal Lleg'!T18</f>
        <v>10.911764013253929</v>
      </c>
      <c r="L16" s="29" t="s">
        <v>397</v>
      </c>
      <c r="M16" s="32">
        <f ca="1">IFERROR(ATAN(AG17/(G10*G16)),"")</f>
        <v>0.16362423083884922</v>
      </c>
      <c r="T16" s="54" t="s">
        <v>19</v>
      </c>
      <c r="U16" s="38"/>
      <c r="V16" s="38"/>
      <c r="W16" s="38"/>
      <c r="X16" s="38"/>
      <c r="Y16" s="38"/>
      <c r="Z16" s="38"/>
      <c r="AA16" s="38"/>
      <c r="AB16" s="38"/>
      <c r="AD16" s="18"/>
      <c r="AE16" s="18"/>
      <c r="AF16" s="18"/>
      <c r="AG16" s="18"/>
    </row>
    <row r="17" spans="6:34" x14ac:dyDescent="0.3">
      <c r="F17" s="52" t="s">
        <v>519</v>
      </c>
      <c r="G17" s="34">
        <f ca="1">M17</f>
        <v>9.3749778531403898</v>
      </c>
      <c r="I17" s="52" t="s">
        <v>378</v>
      </c>
      <c r="J17" s="56">
        <f ca="1">'Calados Act Sal Lleg'!V18</f>
        <v>10.387237167143057</v>
      </c>
      <c r="L17" s="29" t="s">
        <v>398</v>
      </c>
      <c r="M17" s="32">
        <f ca="1">IFERROR(DEGREES(M16),"")</f>
        <v>9.3749778531403898</v>
      </c>
      <c r="T17" s="52" t="s">
        <v>20</v>
      </c>
      <c r="U17" s="56" cm="1">
        <f t="array" ref="U17:U40">'Carga y Reparto'!O36:O59</f>
        <v>0</v>
      </c>
      <c r="V17" s="52">
        <f>TTHH!G21</f>
        <v>9.3000000000000007</v>
      </c>
      <c r="W17" s="56">
        <f>U17*V17</f>
        <v>0</v>
      </c>
      <c r="X17" s="52">
        <f>TTHH!E21</f>
        <v>179.02</v>
      </c>
      <c r="Y17" s="56">
        <f t="shared" ref="Y17:Y41" si="0">U17*X17</f>
        <v>0</v>
      </c>
      <c r="Z17" s="52">
        <f>TTHH!F21</f>
        <v>0</v>
      </c>
      <c r="AA17" s="56">
        <f>U17*Z17</f>
        <v>0</v>
      </c>
      <c r="AB17" s="56" cm="1">
        <f t="array" ref="AB17:AB40">'Carga y Reparto'!P36:P59</f>
        <v>0</v>
      </c>
      <c r="AD17" s="18"/>
      <c r="AE17" s="18"/>
      <c r="AF17" s="52" t="s">
        <v>389</v>
      </c>
      <c r="AG17" s="56">
        <f ca="1">SUM(AG11:AG15)</f>
        <v>32674.746902965373</v>
      </c>
    </row>
    <row r="18" spans="6:34" x14ac:dyDescent="0.3">
      <c r="F18" s="52" t="s">
        <v>520</v>
      </c>
      <c r="G18" s="27">
        <f ca="1">P15</f>
        <v>0.59131162758197686</v>
      </c>
      <c r="I18" s="52" t="s">
        <v>379</v>
      </c>
      <c r="J18" s="56">
        <f ca="1">J14-0.022</f>
        <v>10.398877005347597</v>
      </c>
      <c r="L18" s="29" t="s">
        <v>541</v>
      </c>
      <c r="M18" s="32">
        <f ca="1">IFERROR(FORECAST(G10, OFFSET(TTHH!$J$22,MATCH(G10,TTHH!$K$22:$K$129,1)-1,0,2), OFFSET(TTHH!$K$22,MATCH(G10,TTHH!$K$22:$K$129,1)-1,0,2)),0)</f>
        <v>10.398880142467156</v>
      </c>
      <c r="T18" s="52" t="s">
        <v>21</v>
      </c>
      <c r="U18" s="56">
        <v>0</v>
      </c>
      <c r="V18" s="52">
        <f>TTHH!G22</f>
        <v>0.91</v>
      </c>
      <c r="W18" s="56">
        <f t="shared" ref="W18:W41" si="1">U18*V18</f>
        <v>0</v>
      </c>
      <c r="X18" s="52">
        <f>TTHH!E22</f>
        <v>157.12</v>
      </c>
      <c r="Y18" s="56">
        <f t="shared" si="0"/>
        <v>0</v>
      </c>
      <c r="Z18" s="52">
        <f>TTHH!F22</f>
        <v>-5.15</v>
      </c>
      <c r="AA18" s="56">
        <f t="shared" ref="AA18:AA41" si="2">U18*Z18</f>
        <v>0</v>
      </c>
      <c r="AB18" s="56">
        <v>0</v>
      </c>
    </row>
    <row r="19" spans="6:34" x14ac:dyDescent="0.3">
      <c r="T19" s="52" t="s">
        <v>25</v>
      </c>
      <c r="U19" s="56">
        <v>0</v>
      </c>
      <c r="V19" s="52">
        <f>TTHH!G23</f>
        <v>0.91</v>
      </c>
      <c r="W19" s="56">
        <f t="shared" si="1"/>
        <v>0</v>
      </c>
      <c r="X19" s="52">
        <f>TTHH!E23</f>
        <v>157.12</v>
      </c>
      <c r="Y19" s="56">
        <f t="shared" si="0"/>
        <v>0</v>
      </c>
      <c r="Z19" s="52">
        <f>TTHH!F23</f>
        <v>5.15</v>
      </c>
      <c r="AA19" s="56">
        <f t="shared" si="2"/>
        <v>0</v>
      </c>
      <c r="AB19" s="56">
        <v>0</v>
      </c>
    </row>
    <row r="20" spans="6:34" x14ac:dyDescent="0.3">
      <c r="T20" s="52" t="s">
        <v>23</v>
      </c>
      <c r="U20" s="56">
        <v>0</v>
      </c>
      <c r="V20" s="52">
        <f>TTHH!G24</f>
        <v>7.19</v>
      </c>
      <c r="W20" s="56">
        <f t="shared" si="1"/>
        <v>0</v>
      </c>
      <c r="X20" s="52">
        <f>TTHH!E24</f>
        <v>158.83000000000001</v>
      </c>
      <c r="Y20" s="56">
        <f t="shared" si="0"/>
        <v>0</v>
      </c>
      <c r="Z20" s="52">
        <f>TTHH!F24</f>
        <v>-12.75</v>
      </c>
      <c r="AA20" s="56">
        <f t="shared" si="2"/>
        <v>0</v>
      </c>
      <c r="AB20" s="56">
        <v>0</v>
      </c>
    </row>
    <row r="21" spans="6:34" x14ac:dyDescent="0.3">
      <c r="T21" s="52" t="s">
        <v>26</v>
      </c>
      <c r="U21" s="56">
        <v>0</v>
      </c>
      <c r="V21" s="52">
        <f>TTHH!G25</f>
        <v>7.19</v>
      </c>
      <c r="W21" s="56">
        <f t="shared" si="1"/>
        <v>0</v>
      </c>
      <c r="X21" s="52">
        <f>TTHH!E25</f>
        <v>158.83000000000001</v>
      </c>
      <c r="Y21" s="56">
        <f t="shared" si="0"/>
        <v>0</v>
      </c>
      <c r="Z21" s="52">
        <f>TTHH!F25</f>
        <v>12.75</v>
      </c>
      <c r="AA21" s="56">
        <f t="shared" si="2"/>
        <v>0</v>
      </c>
      <c r="AB21" s="56">
        <v>0</v>
      </c>
    </row>
    <row r="22" spans="6:34" x14ac:dyDescent="0.3">
      <c r="T22" s="52" t="s">
        <v>22</v>
      </c>
      <c r="U22" s="56">
        <v>0</v>
      </c>
      <c r="V22" s="52">
        <f>TTHH!G26</f>
        <v>1.24</v>
      </c>
      <c r="W22" s="56">
        <f t="shared" si="1"/>
        <v>0</v>
      </c>
      <c r="X22" s="52">
        <f>TTHH!E26</f>
        <v>132.91</v>
      </c>
      <c r="Y22" s="56">
        <f t="shared" si="0"/>
        <v>0</v>
      </c>
      <c r="Z22" s="52">
        <f>TTHH!F26</f>
        <v>-7.49</v>
      </c>
      <c r="AA22" s="56">
        <f t="shared" si="2"/>
        <v>0</v>
      </c>
      <c r="AB22" s="56">
        <v>0</v>
      </c>
    </row>
    <row r="23" spans="6:34" x14ac:dyDescent="0.3">
      <c r="T23" s="52" t="s">
        <v>31</v>
      </c>
      <c r="U23" s="56">
        <v>0</v>
      </c>
      <c r="V23" s="52">
        <f>TTHH!G27</f>
        <v>1.24</v>
      </c>
      <c r="W23" s="56">
        <f t="shared" si="1"/>
        <v>0</v>
      </c>
      <c r="X23" s="52">
        <f>TTHH!E27</f>
        <v>132.91</v>
      </c>
      <c r="Y23" s="56">
        <f t="shared" si="0"/>
        <v>0</v>
      </c>
      <c r="Z23" s="52">
        <f>TTHH!F27</f>
        <v>7.49</v>
      </c>
      <c r="AA23" s="56">
        <f t="shared" si="2"/>
        <v>0</v>
      </c>
      <c r="AB23" s="56">
        <v>0</v>
      </c>
      <c r="AE23" s="29" t="s">
        <v>46</v>
      </c>
      <c r="AF23" s="29" t="s">
        <v>463</v>
      </c>
      <c r="AG23" s="29" t="s">
        <v>359</v>
      </c>
      <c r="AH23" s="29" t="s">
        <v>529</v>
      </c>
    </row>
    <row r="24" spans="6:34" x14ac:dyDescent="0.3">
      <c r="F24" s="52" t="s">
        <v>542</v>
      </c>
      <c r="G24" s="56">
        <f ca="1">IFERROR(L40,0)</f>
        <v>2.2883976059663249</v>
      </c>
      <c r="T24" s="52" t="s">
        <v>24</v>
      </c>
      <c r="U24" s="56">
        <v>248.53474</v>
      </c>
      <c r="V24" s="52">
        <f>TTHH!G28</f>
        <v>8.9</v>
      </c>
      <c r="W24" s="56">
        <f t="shared" si="1"/>
        <v>2211.959186</v>
      </c>
      <c r="X24" s="52">
        <f>TTHH!E28</f>
        <v>130.6</v>
      </c>
      <c r="Y24" s="56">
        <f t="shared" si="0"/>
        <v>32458.637043999999</v>
      </c>
      <c r="Z24" s="52">
        <f>TTHH!F28</f>
        <v>-14.86</v>
      </c>
      <c r="AA24" s="56">
        <f t="shared" si="2"/>
        <v>-3693.2262363999998</v>
      </c>
      <c r="AB24" s="56">
        <v>246.07399999999998</v>
      </c>
      <c r="AE24" s="29" t="s">
        <v>410</v>
      </c>
      <c r="AF24" s="32" cm="1">
        <f t="array" ref="AF24:AF32">Consumos!O9:O17</f>
        <v>0</v>
      </c>
      <c r="AG24" s="31" cm="1">
        <f t="array" ref="AG24:AG32">'Carga y Reparto'!Q17:Q25</f>
        <v>0.95</v>
      </c>
      <c r="AH24" s="32">
        <f>IFERROR(AF24/AG24,0)</f>
        <v>0</v>
      </c>
    </row>
    <row r="25" spans="6:34" x14ac:dyDescent="0.3">
      <c r="F25" s="52" t="s">
        <v>543</v>
      </c>
      <c r="G25" s="56" cm="1">
        <f t="array" aca="1" ref="G25" ca="1">IFERROR(INDEX(G36:P36,,MATCH(MAX(G40:P40),G40:P40,0)),0)</f>
        <v>50</v>
      </c>
      <c r="T25" s="52" t="s">
        <v>32</v>
      </c>
      <c r="U25" s="56">
        <v>0</v>
      </c>
      <c r="V25" s="52">
        <f>TTHH!G29</f>
        <v>8.9</v>
      </c>
      <c r="W25" s="56">
        <f t="shared" si="1"/>
        <v>0</v>
      </c>
      <c r="X25" s="52">
        <f>TTHH!E29</f>
        <v>130.6</v>
      </c>
      <c r="Y25" s="56">
        <f t="shared" si="0"/>
        <v>0</v>
      </c>
      <c r="Z25" s="52">
        <f>TTHH!F29</f>
        <v>14.86</v>
      </c>
      <c r="AA25" s="56">
        <f t="shared" si="2"/>
        <v>0</v>
      </c>
      <c r="AB25" s="56">
        <v>0</v>
      </c>
      <c r="AE25" s="29" t="s">
        <v>411</v>
      </c>
      <c r="AF25" s="32">
        <v>0</v>
      </c>
      <c r="AG25" s="31">
        <v>0.95</v>
      </c>
      <c r="AH25" s="32">
        <f t="shared" ref="AH25:AH32" si="3">IFERROR(AF25/AG25,0)</f>
        <v>0</v>
      </c>
    </row>
    <row r="26" spans="6:34" x14ac:dyDescent="0.3">
      <c r="F26" s="52" t="s">
        <v>544</v>
      </c>
      <c r="G26" s="56" cm="1">
        <f t="array" aca="1" ref="G26:G28" ca="1">IFERROR(G54:G56,0)</f>
        <v>0.51094602969949177</v>
      </c>
      <c r="T26" s="52" t="s">
        <v>33</v>
      </c>
      <c r="U26" s="56">
        <v>0</v>
      </c>
      <c r="V26" s="52">
        <f>TTHH!G30</f>
        <v>1.24</v>
      </c>
      <c r="W26" s="56">
        <f t="shared" si="1"/>
        <v>0</v>
      </c>
      <c r="X26" s="52">
        <f>TTHH!E30</f>
        <v>104.11</v>
      </c>
      <c r="Y26" s="56">
        <f t="shared" si="0"/>
        <v>0</v>
      </c>
      <c r="Z26" s="52">
        <f>TTHH!F30</f>
        <v>-7.49</v>
      </c>
      <c r="AA26" s="56">
        <f t="shared" si="2"/>
        <v>0</v>
      </c>
      <c r="AB26" s="56">
        <v>0</v>
      </c>
      <c r="AE26" s="29" t="s">
        <v>412</v>
      </c>
      <c r="AF26" s="32">
        <v>0</v>
      </c>
      <c r="AG26" s="31">
        <v>0.95</v>
      </c>
      <c r="AH26" s="32">
        <f t="shared" si="3"/>
        <v>0</v>
      </c>
    </row>
    <row r="27" spans="6:34" x14ac:dyDescent="0.3">
      <c r="F27" s="52" t="s">
        <v>545</v>
      </c>
      <c r="G27" s="56">
        <f ca="1"/>
        <v>0.34511981641806277</v>
      </c>
      <c r="T27" s="52" t="s">
        <v>34</v>
      </c>
      <c r="U27" s="56">
        <v>0</v>
      </c>
      <c r="V27" s="52">
        <f>TTHH!G31</f>
        <v>1.24</v>
      </c>
      <c r="W27" s="56">
        <f t="shared" si="1"/>
        <v>0</v>
      </c>
      <c r="X27" s="52">
        <f>TTHH!E31</f>
        <v>104.11</v>
      </c>
      <c r="Y27" s="56">
        <f t="shared" si="0"/>
        <v>0</v>
      </c>
      <c r="Z27" s="52">
        <f>TTHH!F31</f>
        <v>7.49</v>
      </c>
      <c r="AA27" s="56">
        <f t="shared" si="2"/>
        <v>0</v>
      </c>
      <c r="AB27" s="56">
        <v>0</v>
      </c>
      <c r="AE27" s="29" t="s">
        <v>413</v>
      </c>
      <c r="AF27" s="32">
        <v>337.02266603395333</v>
      </c>
      <c r="AG27" s="31">
        <v>0.95</v>
      </c>
      <c r="AH27" s="32">
        <f t="shared" si="3"/>
        <v>354.76070108837195</v>
      </c>
    </row>
    <row r="28" spans="6:34" x14ac:dyDescent="0.3">
      <c r="F28" s="52" t="s">
        <v>546</v>
      </c>
      <c r="G28" s="56">
        <f ca="1"/>
        <v>0.58979869399090146</v>
      </c>
      <c r="T28" s="52" t="s">
        <v>35</v>
      </c>
      <c r="U28" s="56">
        <v>0</v>
      </c>
      <c r="V28" s="52">
        <f>TTHH!G32</f>
        <v>8.89</v>
      </c>
      <c r="W28" s="56">
        <f t="shared" si="1"/>
        <v>0</v>
      </c>
      <c r="X28" s="52">
        <f>TTHH!E32</f>
        <v>101.82</v>
      </c>
      <c r="Y28" s="56">
        <f t="shared" si="0"/>
        <v>0</v>
      </c>
      <c r="Z28" s="52">
        <f>TTHH!F32</f>
        <v>-14.86</v>
      </c>
      <c r="AA28" s="56">
        <f t="shared" si="2"/>
        <v>0</v>
      </c>
      <c r="AB28" s="56">
        <v>0</v>
      </c>
      <c r="AE28" s="29" t="s">
        <v>414</v>
      </c>
      <c r="AF28" s="32">
        <v>0</v>
      </c>
      <c r="AG28" s="31">
        <v>0.95</v>
      </c>
      <c r="AH28" s="32">
        <f t="shared" si="3"/>
        <v>0</v>
      </c>
    </row>
    <row r="29" spans="6:34" x14ac:dyDescent="0.3">
      <c r="T29" s="52" t="s">
        <v>36</v>
      </c>
      <c r="U29" s="56">
        <v>0</v>
      </c>
      <c r="V29" s="52">
        <f>TTHH!G33</f>
        <v>8.89</v>
      </c>
      <c r="W29" s="56">
        <f t="shared" si="1"/>
        <v>0</v>
      </c>
      <c r="X29" s="52">
        <f>TTHH!E33</f>
        <v>101.82</v>
      </c>
      <c r="Y29" s="56">
        <f t="shared" si="0"/>
        <v>0</v>
      </c>
      <c r="Z29" s="52">
        <f>TTHH!F33</f>
        <v>14.86</v>
      </c>
      <c r="AA29" s="56">
        <f t="shared" si="2"/>
        <v>0</v>
      </c>
      <c r="AB29" s="56">
        <v>0</v>
      </c>
      <c r="AE29" s="29" t="s">
        <v>415</v>
      </c>
      <c r="AF29" s="32">
        <v>0</v>
      </c>
      <c r="AG29" s="31">
        <v>0.95</v>
      </c>
      <c r="AH29" s="32">
        <f t="shared" si="3"/>
        <v>0</v>
      </c>
    </row>
    <row r="30" spans="6:34" x14ac:dyDescent="0.3">
      <c r="T30" s="52" t="s">
        <v>37</v>
      </c>
      <c r="U30" s="56">
        <v>0</v>
      </c>
      <c r="V30" s="52">
        <f>TTHH!G34</f>
        <v>1.24</v>
      </c>
      <c r="W30" s="56">
        <f t="shared" si="1"/>
        <v>0</v>
      </c>
      <c r="X30" s="52">
        <f>TTHH!E34</f>
        <v>75.31</v>
      </c>
      <c r="Y30" s="56">
        <f t="shared" si="0"/>
        <v>0</v>
      </c>
      <c r="Z30" s="52">
        <f>TTHH!F34</f>
        <v>-7.49</v>
      </c>
      <c r="AA30" s="56">
        <f t="shared" si="2"/>
        <v>0</v>
      </c>
      <c r="AB30" s="56">
        <v>0</v>
      </c>
      <c r="AE30" s="29" t="s">
        <v>416</v>
      </c>
      <c r="AF30" s="32">
        <v>42.94</v>
      </c>
      <c r="AG30" s="31">
        <v>0.95</v>
      </c>
      <c r="AH30" s="32">
        <f t="shared" si="3"/>
        <v>45.2</v>
      </c>
    </row>
    <row r="31" spans="6:34" x14ac:dyDescent="0.3">
      <c r="T31" s="52" t="s">
        <v>38</v>
      </c>
      <c r="U31" s="56">
        <v>0</v>
      </c>
      <c r="V31" s="52">
        <f>TTHH!G35</f>
        <v>1.24</v>
      </c>
      <c r="W31" s="56">
        <f t="shared" si="1"/>
        <v>0</v>
      </c>
      <c r="X31" s="52">
        <f>TTHH!E35</f>
        <v>75.31</v>
      </c>
      <c r="Y31" s="56">
        <f t="shared" si="0"/>
        <v>0</v>
      </c>
      <c r="Z31" s="52">
        <f>TTHH!F35</f>
        <v>7.49</v>
      </c>
      <c r="AA31" s="56">
        <f t="shared" si="2"/>
        <v>0</v>
      </c>
      <c r="AB31" s="56">
        <v>0</v>
      </c>
      <c r="AE31" s="29" t="s">
        <v>417</v>
      </c>
      <c r="AF31" s="32">
        <v>8.5879999999999992</v>
      </c>
      <c r="AG31" s="31">
        <v>0.95</v>
      </c>
      <c r="AH31" s="32">
        <f t="shared" si="3"/>
        <v>9.0399999999999991</v>
      </c>
    </row>
    <row r="32" spans="6:34" x14ac:dyDescent="0.3">
      <c r="T32" s="52" t="s">
        <v>39</v>
      </c>
      <c r="U32" s="56">
        <v>0</v>
      </c>
      <c r="V32" s="52">
        <f>TTHH!G36</f>
        <v>8.98</v>
      </c>
      <c r="W32" s="56">
        <f t="shared" si="1"/>
        <v>0</v>
      </c>
      <c r="X32" s="52">
        <f>TTHH!E36</f>
        <v>73.13</v>
      </c>
      <c r="Y32" s="56">
        <f t="shared" si="0"/>
        <v>0</v>
      </c>
      <c r="Z32" s="52">
        <f>TTHH!F36</f>
        <v>-14.85</v>
      </c>
      <c r="AA32" s="56">
        <f t="shared" si="2"/>
        <v>0</v>
      </c>
      <c r="AB32" s="56">
        <v>0</v>
      </c>
      <c r="AE32" s="29" t="s">
        <v>418</v>
      </c>
      <c r="AF32" s="32">
        <v>4.3890000000000002</v>
      </c>
      <c r="AG32" s="31">
        <v>0.95</v>
      </c>
      <c r="AH32" s="32">
        <f t="shared" si="3"/>
        <v>4.62</v>
      </c>
    </row>
    <row r="33" spans="6:34" x14ac:dyDescent="0.3">
      <c r="T33" s="52" t="s">
        <v>40</v>
      </c>
      <c r="U33" s="56">
        <v>0</v>
      </c>
      <c r="V33" s="52">
        <f>TTHH!G37</f>
        <v>8.98</v>
      </c>
      <c r="W33" s="56">
        <f t="shared" si="1"/>
        <v>0</v>
      </c>
      <c r="X33" s="52">
        <f>TTHH!E37</f>
        <v>73.13</v>
      </c>
      <c r="Y33" s="56">
        <f t="shared" si="0"/>
        <v>0</v>
      </c>
      <c r="Z33" s="52">
        <f>TTHH!F37</f>
        <v>14.85</v>
      </c>
      <c r="AA33" s="56">
        <f t="shared" si="2"/>
        <v>0</v>
      </c>
      <c r="AB33" s="56">
        <v>0</v>
      </c>
    </row>
    <row r="34" spans="6:34" x14ac:dyDescent="0.3">
      <c r="T34" s="52" t="s">
        <v>41</v>
      </c>
      <c r="U34" s="56">
        <v>0</v>
      </c>
      <c r="V34" s="52">
        <f>TTHH!G38</f>
        <v>1.38</v>
      </c>
      <c r="W34" s="56">
        <f t="shared" si="1"/>
        <v>0</v>
      </c>
      <c r="X34" s="52">
        <f>TTHH!E38</f>
        <v>49.43</v>
      </c>
      <c r="Y34" s="56">
        <f t="shared" si="0"/>
        <v>0</v>
      </c>
      <c r="Z34" s="52">
        <f>TTHH!F38</f>
        <v>-6.38</v>
      </c>
      <c r="AA34" s="56">
        <f t="shared" si="2"/>
        <v>0</v>
      </c>
      <c r="AB34" s="56">
        <v>0</v>
      </c>
    </row>
    <row r="35" spans="6:34" x14ac:dyDescent="0.3">
      <c r="T35" s="52" t="s">
        <v>42</v>
      </c>
      <c r="U35" s="56">
        <v>0</v>
      </c>
      <c r="V35" s="52">
        <f>TTHH!G39</f>
        <v>1.38</v>
      </c>
      <c r="W35" s="56">
        <f t="shared" si="1"/>
        <v>0</v>
      </c>
      <c r="X35" s="52">
        <f>TTHH!E39</f>
        <v>49.43</v>
      </c>
      <c r="Y35" s="56">
        <f t="shared" si="0"/>
        <v>0</v>
      </c>
      <c r="Z35" s="52">
        <f>TTHH!F39</f>
        <v>6.38</v>
      </c>
      <c r="AA35" s="56">
        <f t="shared" si="2"/>
        <v>0</v>
      </c>
      <c r="AB35" s="56">
        <v>0</v>
      </c>
      <c r="AE35" s="29" t="s">
        <v>57</v>
      </c>
      <c r="AF35" s="29" t="s">
        <v>463</v>
      </c>
      <c r="AG35" s="29" t="s">
        <v>359</v>
      </c>
      <c r="AH35" s="29" t="s">
        <v>529</v>
      </c>
    </row>
    <row r="36" spans="6:34" x14ac:dyDescent="0.3">
      <c r="F36" s="29" t="s">
        <v>547</v>
      </c>
      <c r="G36" s="29">
        <v>0</v>
      </c>
      <c r="H36" s="29">
        <v>5</v>
      </c>
      <c r="I36" s="29">
        <v>10</v>
      </c>
      <c r="J36" s="29">
        <v>12</v>
      </c>
      <c r="K36" s="29">
        <v>20</v>
      </c>
      <c r="L36" s="29">
        <v>30</v>
      </c>
      <c r="M36" s="29">
        <v>40</v>
      </c>
      <c r="N36" s="29">
        <v>50</v>
      </c>
      <c r="O36" s="29">
        <v>60</v>
      </c>
      <c r="P36" s="29">
        <v>75</v>
      </c>
      <c r="T36" s="52" t="s">
        <v>43</v>
      </c>
      <c r="U36" s="56">
        <v>0</v>
      </c>
      <c r="V36" s="52">
        <f>TTHH!G40</f>
        <v>5.76</v>
      </c>
      <c r="W36" s="56">
        <f t="shared" si="1"/>
        <v>0</v>
      </c>
      <c r="X36" s="52">
        <f>TTHH!E40</f>
        <v>41</v>
      </c>
      <c r="Y36" s="56">
        <f t="shared" si="0"/>
        <v>0</v>
      </c>
      <c r="Z36" s="52">
        <f>TTHH!F40</f>
        <v>-12.97</v>
      </c>
      <c r="AA36" s="56">
        <f t="shared" si="2"/>
        <v>0</v>
      </c>
      <c r="AB36" s="56">
        <v>0</v>
      </c>
      <c r="AE36" s="29" t="s">
        <v>404</v>
      </c>
      <c r="AF36" s="32" cm="1">
        <f t="array" ref="AF36:AF39">Consumos!O21:O24</f>
        <v>114.42646660339534</v>
      </c>
      <c r="AG36" s="31" cm="1">
        <f t="array" ref="AG36:AG39">'Carga y Reparto'!Q29:Q32</f>
        <v>0.85</v>
      </c>
      <c r="AH36" s="32">
        <f>IFERROR(AF36/AG36,0)</f>
        <v>134.61937247458275</v>
      </c>
    </row>
    <row r="37" spans="6:34" x14ac:dyDescent="0.3">
      <c r="F37" s="29" t="s">
        <v>390</v>
      </c>
      <c r="G37" s="32">
        <v>0</v>
      </c>
      <c r="H37" s="32">
        <f ca="1">IFERROR(FORECAST(M18, OFFSET(TTHH!CM10, MATCH(M18,Tabla4[[#All],[Columna1]],1)-1, 0, 2), OFFSET(TTHH!CL10, MATCH(M18,Tabla4[[#All],[Columna1]],1)-1, 0, 2)),"")</f>
        <v>1.2090223971506568</v>
      </c>
      <c r="I37" s="32">
        <f ca="1">IFERROR(FORECAST(M18, OFFSET(TTHH!CN10, MATCH(M18,Tabla4[[#All],[Columna1]],1)-1, 0, 2), OFFSET(TTHH!CL10, MATCH(M18,Tabla4[[#All],[Columna1]],1)-1, 0, 2)),"")</f>
        <v>2.4290447943013138</v>
      </c>
      <c r="J37" s="32">
        <f ca="1">IFERROR(FORECAST(M18, OFFSET(TTHH!CO10, MATCH(M18,Tabla4[[#All],[Columna1]],1)-1, 0, 2), OFFSET(TTHH!CL10, MATCH(M18,Tabla4[[#All],[Columna1]],1)-1, 0, 2)),"")</f>
        <v>2.9200559928766419</v>
      </c>
      <c r="K37" s="32">
        <f ca="1">IFERROR(FORECAST(M18, OFFSET(TTHH!CP10, MATCH(M18,Tabla4[[#All],[Columna1]],1)-1, 0, 2), OFFSET(TTHH!$CL$10, MATCH(M18,Tabla4[[#All],[Columna1]],1)-1, 0, 2)),"")</f>
        <v>4.919100787177956</v>
      </c>
      <c r="L37" s="32">
        <f ca="1">IFERROR(FORECAST(M18, OFFSET(TTHH!CQ10, MATCH(M18,Tabla4[[#All],[Columna1]],1)-1, 0, 2), OFFSET(TTHH!$CL$10, MATCH(M18,Tabla4[[#All],[Columna1]],1)-1, 0, 2)),"")</f>
        <v>7.3833247586845241</v>
      </c>
      <c r="M37" s="32">
        <f ca="1">IFERROR(FORECAST(M18, OFFSET(TTHH!CR10, MATCH(M18,Tabla4[[#All],[Columna1]],1)-1, 0, 2), OFFSET(TTHH!$CL$10, MATCH(M18,Tabla4[[#All],[Columna1]],1)-1, 0, 2)),"")</f>
        <v>9.2503359572598551</v>
      </c>
      <c r="N37" s="32">
        <f ca="1">IFERROR(FORECAST(M18, OFFSET(TTHH!CS10, MATCH(M18,Tabla4[[#All],[Columna1]],1)-1, 0, 2), OFFSET(TTHH!$CL$10, MATCH(M18,Tabla4[[#All],[Columna1]],1)-1, 0, 2)),"")</f>
        <v>10.50929116295854</v>
      </c>
      <c r="O37" s="32">
        <f ca="1">IFERROR(FORECAST(M18, OFFSET(TTHH!CT10, MATCH(M18,Tabla4[[#All],[Columna1]],1)-1, 0, 2), OFFSET(TTHH!$CL$10, MATCH(M18,Tabla4[[#All],[Columna1]],1)-1, 0, 2)),"")</f>
        <v>11.120257567232553</v>
      </c>
      <c r="P37" s="32">
        <f ca="1">IFERROR(FORECAST(M18, OFFSET(TTHH!CU10, MATCH(M18,Tabla4[[#All],[Columna1]],1)-1, 0, 2), OFFSET(TTHH!$CL$10, MATCH(M18,Tabla4[[#All],[Columna1]],1)-1, 0, 2)),"")</f>
        <v>11.11814558147927</v>
      </c>
      <c r="T37" s="52" t="s">
        <v>44</v>
      </c>
      <c r="U37" s="56">
        <v>0</v>
      </c>
      <c r="V37" s="52">
        <f>TTHH!G41</f>
        <v>5.76</v>
      </c>
      <c r="W37" s="56">
        <f t="shared" si="1"/>
        <v>0</v>
      </c>
      <c r="X37" s="52">
        <f>TTHH!E41</f>
        <v>41</v>
      </c>
      <c r="Y37" s="56">
        <f t="shared" si="0"/>
        <v>0</v>
      </c>
      <c r="Z37" s="52">
        <f>TTHH!F41</f>
        <v>12.97</v>
      </c>
      <c r="AA37" s="56">
        <f t="shared" si="2"/>
        <v>0</v>
      </c>
      <c r="AB37" s="56">
        <v>0</v>
      </c>
      <c r="AE37" s="29" t="s">
        <v>405</v>
      </c>
      <c r="AF37" s="32">
        <v>3.4864999999999995</v>
      </c>
      <c r="AG37" s="31">
        <v>0.85</v>
      </c>
      <c r="AH37" s="32">
        <f>IFERROR(AF37/AG37,0)</f>
        <v>4.1017647058823528</v>
      </c>
    </row>
    <row r="38" spans="6:34" x14ac:dyDescent="0.3">
      <c r="F38" s="29" t="s">
        <v>548</v>
      </c>
      <c r="G38" s="32">
        <f ca="1">$G$12*SIN(RADIANS(G36))</f>
        <v>0</v>
      </c>
      <c r="H38" s="32">
        <f ca="1">$G$12*SIN(RADIANS(H36))</f>
        <v>0.88361375442473489</v>
      </c>
      <c r="I38" s="32">
        <f t="shared" ref="I38:P38" ca="1" si="4">$G$12*SIN(RADIANS(I36))</f>
        <v>1.7605026746377253</v>
      </c>
      <c r="J38" s="32">
        <f t="shared" ca="1" si="4"/>
        <v>2.107877506639817</v>
      </c>
      <c r="K38" s="32">
        <f t="shared" ca="1" si="4"/>
        <v>3.4675133663639213</v>
      </c>
      <c r="L38" s="32">
        <f t="shared" ca="1" si="4"/>
        <v>5.0691654190995754</v>
      </c>
      <c r="M38" s="32">
        <f t="shared" ca="1" si="4"/>
        <v>6.5167934456973615</v>
      </c>
      <c r="N38" s="32">
        <f t="shared" ca="1" si="4"/>
        <v>7.7664120011042312</v>
      </c>
      <c r="O38" s="32">
        <f t="shared" ca="1" si="4"/>
        <v>8.7800520578516466</v>
      </c>
      <c r="P38" s="32">
        <f t="shared" ca="1" si="4"/>
        <v>9.7928755920794597</v>
      </c>
      <c r="T38" s="52" t="s">
        <v>30</v>
      </c>
      <c r="U38" s="56">
        <v>0</v>
      </c>
      <c r="V38" s="52">
        <f>TTHH!G42</f>
        <v>15.71</v>
      </c>
      <c r="W38" s="56">
        <f t="shared" si="1"/>
        <v>0</v>
      </c>
      <c r="X38" s="52">
        <f>TTHH!E42</f>
        <v>42.71</v>
      </c>
      <c r="Y38" s="56">
        <f t="shared" si="0"/>
        <v>0</v>
      </c>
      <c r="Z38" s="52">
        <f>TTHH!F42</f>
        <v>-14.54</v>
      </c>
      <c r="AA38" s="56">
        <f t="shared" si="2"/>
        <v>0</v>
      </c>
      <c r="AB38" s="56">
        <v>0</v>
      </c>
      <c r="AE38" s="29" t="s">
        <v>406</v>
      </c>
      <c r="AF38" s="32">
        <v>4.6620000000000026</v>
      </c>
      <c r="AG38" s="31">
        <v>0.87</v>
      </c>
      <c r="AH38" s="32">
        <f>IFERROR(AF38/AG38,0)</f>
        <v>5.3586206896551758</v>
      </c>
    </row>
    <row r="39" spans="6:34" x14ac:dyDescent="0.3">
      <c r="F39" s="29" t="s">
        <v>551</v>
      </c>
      <c r="G39" s="32">
        <f ca="1">ABS($G$14)*COS(RADIANS(G36))</f>
        <v>2.9747087679007508E-2</v>
      </c>
      <c r="H39" s="32">
        <f t="shared" ref="H39:P39" ca="1" si="5">ABS($G$14)*COS(RADIANS(H36))</f>
        <v>2.963389102949757E-2</v>
      </c>
      <c r="I39" s="32">
        <f t="shared" ca="1" si="5"/>
        <v>2.9295162575820523E-2</v>
      </c>
      <c r="J39" s="32">
        <f t="shared" ca="1" si="5"/>
        <v>2.9097042442039346E-2</v>
      </c>
      <c r="K39" s="32">
        <f t="shared" ca="1" si="5"/>
        <v>2.7953118781834773E-2</v>
      </c>
      <c r="L39" s="32">
        <f t="shared" ca="1" si="5"/>
        <v>2.5761733618623578E-2</v>
      </c>
      <c r="M39" s="32">
        <f t="shared" ca="1" si="5"/>
        <v>2.2787591215476719E-2</v>
      </c>
      <c r="N39" s="32">
        <f t="shared" ca="1" si="5"/>
        <v>1.9121059384325144E-2</v>
      </c>
      <c r="O39" s="32">
        <f t="shared" ca="1" si="5"/>
        <v>1.4873543839503758E-2</v>
      </c>
      <c r="P39" s="32">
        <f t="shared" ca="1" si="5"/>
        <v>7.6991128276616833E-3</v>
      </c>
      <c r="T39" s="52" t="s">
        <v>29</v>
      </c>
      <c r="U39" s="56">
        <v>0</v>
      </c>
      <c r="V39" s="52">
        <f>TTHH!G43</f>
        <v>15.71</v>
      </c>
      <c r="W39" s="56">
        <f t="shared" si="1"/>
        <v>0</v>
      </c>
      <c r="X39" s="52">
        <f>TTHH!E43</f>
        <v>42.71</v>
      </c>
      <c r="Y39" s="56">
        <f t="shared" si="0"/>
        <v>0</v>
      </c>
      <c r="Z39" s="52">
        <f>TTHH!F43</f>
        <v>14.54</v>
      </c>
      <c r="AA39" s="56">
        <f t="shared" si="2"/>
        <v>0</v>
      </c>
      <c r="AB39" s="56">
        <v>0</v>
      </c>
      <c r="AE39" s="29" t="s">
        <v>407</v>
      </c>
      <c r="AF39" s="32">
        <v>3.4578000000000002</v>
      </c>
      <c r="AG39" s="31">
        <v>0.85</v>
      </c>
      <c r="AH39" s="32">
        <f>IFERROR(AF39/AG39,0)</f>
        <v>4.0680000000000005</v>
      </c>
    </row>
    <row r="40" spans="6:34" x14ac:dyDescent="0.3">
      <c r="F40" s="29" t="s">
        <v>549</v>
      </c>
      <c r="G40" s="32">
        <f ca="1">G37-G38-G39</f>
        <v>-2.9747087679007508E-2</v>
      </c>
      <c r="H40" s="32">
        <f t="shared" ref="H40:P40" ca="1" si="6">H37-H38-H39</f>
        <v>0.29577475169642437</v>
      </c>
      <c r="I40" s="32">
        <f t="shared" ca="1" si="6"/>
        <v>0.63924695708776802</v>
      </c>
      <c r="J40" s="32">
        <f t="shared" ca="1" si="6"/>
        <v>0.7830814437947855</v>
      </c>
      <c r="K40" s="32">
        <f t="shared" ca="1" si="6"/>
        <v>1.4236343020322</v>
      </c>
      <c r="L40" s="32">
        <f t="shared" ca="1" si="6"/>
        <v>2.2883976059663249</v>
      </c>
      <c r="M40" s="32">
        <f t="shared" ca="1" si="6"/>
        <v>2.7107549203470169</v>
      </c>
      <c r="N40" s="32">
        <f t="shared" ca="1" si="6"/>
        <v>2.7237581024699837</v>
      </c>
      <c r="O40" s="32">
        <f t="shared" ca="1" si="6"/>
        <v>2.3253319655414026</v>
      </c>
      <c r="P40" s="32">
        <f t="shared" ca="1" si="6"/>
        <v>1.3175708765721488</v>
      </c>
      <c r="T40" s="52" t="s">
        <v>28</v>
      </c>
      <c r="U40" s="56">
        <v>0</v>
      </c>
      <c r="V40" s="52">
        <f>TTHH!G44</f>
        <v>11.53</v>
      </c>
      <c r="W40" s="56">
        <f t="shared" si="1"/>
        <v>0</v>
      </c>
      <c r="X40" s="52">
        <f>TTHH!E44</f>
        <v>2.33</v>
      </c>
      <c r="Y40" s="56">
        <f t="shared" si="0"/>
        <v>0</v>
      </c>
      <c r="Z40" s="52">
        <f>TTHH!F44</f>
        <v>0</v>
      </c>
      <c r="AA40" s="56">
        <f t="shared" si="2"/>
        <v>0</v>
      </c>
      <c r="AB40" s="56">
        <v>0</v>
      </c>
    </row>
    <row r="41" spans="6:34" x14ac:dyDescent="0.3">
      <c r="T41" s="52" t="s">
        <v>27</v>
      </c>
      <c r="U41" s="56"/>
      <c r="V41" s="52">
        <f>TTHH!G45</f>
        <v>10.210000000000001</v>
      </c>
      <c r="W41" s="56">
        <f t="shared" si="1"/>
        <v>0</v>
      </c>
      <c r="X41" s="52">
        <f>TTHH!E45</f>
        <v>101.22</v>
      </c>
      <c r="Y41" s="56">
        <f t="shared" si="0"/>
        <v>0</v>
      </c>
      <c r="Z41" s="52">
        <f>TTHH!F45</f>
        <v>0</v>
      </c>
      <c r="AA41" s="56">
        <f t="shared" si="2"/>
        <v>0</v>
      </c>
      <c r="AB41" s="56"/>
    </row>
    <row r="42" spans="6:34" x14ac:dyDescent="0.3">
      <c r="F42" s="29" t="s">
        <v>547</v>
      </c>
      <c r="G42" s="29" t="s">
        <v>549</v>
      </c>
      <c r="H42" s="29" t="s">
        <v>552</v>
      </c>
      <c r="I42" s="29" t="s">
        <v>553</v>
      </c>
      <c r="T42" s="54" t="s">
        <v>46</v>
      </c>
      <c r="U42" s="38"/>
      <c r="V42" s="38"/>
      <c r="W42" s="38"/>
      <c r="X42" s="38"/>
      <c r="Y42" s="38"/>
      <c r="Z42" s="38"/>
      <c r="AA42" s="38"/>
      <c r="AB42" s="38"/>
      <c r="AE42" s="29" t="s">
        <v>63</v>
      </c>
      <c r="AF42" s="29" t="s">
        <v>463</v>
      </c>
      <c r="AG42" s="29" t="s">
        <v>359</v>
      </c>
      <c r="AH42" s="29" t="s">
        <v>529</v>
      </c>
    </row>
    <row r="43" spans="6:34" x14ac:dyDescent="0.3">
      <c r="F43" s="29">
        <v>0</v>
      </c>
      <c r="G43" s="32">
        <f ca="1">LOOKUP(F43,$G$36:$P$36,$G$40:$P$40)</f>
        <v>-2.9747087679007508E-2</v>
      </c>
      <c r="H43" s="30">
        <v>1</v>
      </c>
      <c r="I43" s="32">
        <f ca="1">G43*H43</f>
        <v>-2.9747087679007508E-2</v>
      </c>
      <c r="T43" s="52" t="s">
        <v>47</v>
      </c>
      <c r="U43" s="56" cm="1">
        <f t="array" ref="U43:U51">Consumos!O9:O17</f>
        <v>0</v>
      </c>
      <c r="V43" s="52" cm="1">
        <f t="array" ref="V43:V51">Tabla18[[#All],[Columna5]]</f>
        <v>12.56</v>
      </c>
      <c r="W43" s="56">
        <f t="shared" ref="W43:W51" si="7">U43*V43</f>
        <v>0</v>
      </c>
      <c r="X43" s="52" cm="1">
        <f t="array" ref="X43:X51">Tabla18[[#All],[Columna3]]</f>
        <v>23.89</v>
      </c>
      <c r="Y43" s="56">
        <f t="shared" ref="Y43:Y51" si="8">U43*X43</f>
        <v>0</v>
      </c>
      <c r="Z43" s="52" cm="1">
        <f t="array" ref="Z43:Z51">Tabla18[[#All],[Columna4]]</f>
        <v>-9.91</v>
      </c>
      <c r="AA43" s="56">
        <f t="shared" ref="AA43:AA51" si="9">U43*Z43</f>
        <v>0</v>
      </c>
      <c r="AB43" s="56">
        <f>IF(AND(AH24&lt;TTHH!D53,AH24&lt;&gt;0),TTHH!H53,0)</f>
        <v>0</v>
      </c>
      <c r="AE43" s="29" t="s">
        <v>422</v>
      </c>
      <c r="AF43" s="32" cm="1">
        <f t="array" ref="AF43:AF52">Consumos!Z9:Z18</f>
        <v>17.067155534465115</v>
      </c>
      <c r="AG43" s="31" cm="1">
        <f t="array" ref="AG43:AG52">'Carga y Reparto'!Q63:Q72</f>
        <v>1</v>
      </c>
      <c r="AH43" s="32">
        <f>IFERROR(AF43/AG43,0)</f>
        <v>17.067155534465115</v>
      </c>
    </row>
    <row r="44" spans="6:34" x14ac:dyDescent="0.3">
      <c r="F44" s="29">
        <v>5</v>
      </c>
      <c r="G44" s="32">
        <f t="shared" ref="G44:G52" ca="1" si="10">LOOKUP(F44,$G$36:$P$36,$G$40:$P$40)</f>
        <v>0.29577475169642437</v>
      </c>
      <c r="H44" s="30">
        <v>4</v>
      </c>
      <c r="I44" s="32">
        <f t="shared" ref="I44:I52" ca="1" si="11">G44*H44</f>
        <v>1.1830990067856975</v>
      </c>
      <c r="T44" s="52" t="s">
        <v>48</v>
      </c>
      <c r="U44" s="56">
        <v>0</v>
      </c>
      <c r="V44" s="52">
        <v>12.31</v>
      </c>
      <c r="W44" s="56">
        <f t="shared" si="7"/>
        <v>0</v>
      </c>
      <c r="X44" s="52">
        <v>24.07</v>
      </c>
      <c r="Y44" s="56">
        <f t="shared" si="8"/>
        <v>0</v>
      </c>
      <c r="Z44" s="52">
        <v>10.62</v>
      </c>
      <c r="AA44" s="56">
        <f t="shared" si="9"/>
        <v>0</v>
      </c>
      <c r="AB44" s="56">
        <f>IF(AND(AH25&lt;TTHH!D54,AH25&lt;&gt;0),TTHH!H54,0)</f>
        <v>0</v>
      </c>
      <c r="AE44" s="29" t="s">
        <v>423</v>
      </c>
      <c r="AF44" s="32">
        <v>16.829999999999998</v>
      </c>
      <c r="AG44" s="31">
        <v>0.9</v>
      </c>
      <c r="AH44" s="32">
        <f t="shared" ref="AH44:AH52" si="12">IFERROR(AF44/AG44,0)</f>
        <v>18.7</v>
      </c>
    </row>
    <row r="45" spans="6:34" x14ac:dyDescent="0.3">
      <c r="F45" s="29">
        <v>10</v>
      </c>
      <c r="G45" s="32">
        <f t="shared" ca="1" si="10"/>
        <v>0.63924695708776802</v>
      </c>
      <c r="H45" s="30">
        <v>2</v>
      </c>
      <c r="I45" s="32">
        <f t="shared" ca="1" si="11"/>
        <v>1.278493914175536</v>
      </c>
      <c r="T45" s="52" t="s">
        <v>49</v>
      </c>
      <c r="U45" s="56">
        <v>0</v>
      </c>
      <c r="V45" s="52">
        <v>12.38</v>
      </c>
      <c r="W45" s="56">
        <f t="shared" si="7"/>
        <v>0</v>
      </c>
      <c r="X45" s="52">
        <v>17.920000000000002</v>
      </c>
      <c r="Y45" s="56">
        <f t="shared" si="8"/>
        <v>0</v>
      </c>
      <c r="Z45" s="52">
        <v>-9.4600000000000009</v>
      </c>
      <c r="AA45" s="56">
        <f t="shared" si="9"/>
        <v>0</v>
      </c>
      <c r="AB45" s="56">
        <f>IF(AND(AH26&lt;TTHH!D55,AH26&lt;&gt;0),TTHH!H55,0)</f>
        <v>0</v>
      </c>
      <c r="AE45" s="29" t="s">
        <v>424</v>
      </c>
      <c r="AF45" s="32">
        <v>9.68</v>
      </c>
      <c r="AG45" s="31">
        <v>0.9</v>
      </c>
      <c r="AH45" s="32">
        <f t="shared" si="12"/>
        <v>10.755555555555555</v>
      </c>
    </row>
    <row r="46" spans="6:34" x14ac:dyDescent="0.3">
      <c r="F46" s="29">
        <v>12</v>
      </c>
      <c r="G46" s="32">
        <f t="shared" ca="1" si="10"/>
        <v>0.7830814437947855</v>
      </c>
      <c r="H46" s="30">
        <v>4</v>
      </c>
      <c r="I46" s="32">
        <f t="shared" ca="1" si="11"/>
        <v>3.132325775179142</v>
      </c>
      <c r="T46" s="52" t="s">
        <v>50</v>
      </c>
      <c r="U46" s="56">
        <v>337.02266603395333</v>
      </c>
      <c r="V46" s="52">
        <v>12.39</v>
      </c>
      <c r="W46" s="56">
        <f t="shared" si="7"/>
        <v>4175.710832160682</v>
      </c>
      <c r="X46" s="52">
        <v>17.47</v>
      </c>
      <c r="Y46" s="56">
        <f t="shared" si="8"/>
        <v>5887.7859756131638</v>
      </c>
      <c r="Z46" s="52">
        <v>9.93</v>
      </c>
      <c r="AA46" s="56">
        <f t="shared" si="9"/>
        <v>3346.6350737171565</v>
      </c>
      <c r="AB46" s="56">
        <f>IF(AND(AH27&lt;TTHH!D56,AH27&lt;&gt;0),TTHH!H56,0)</f>
        <v>494</v>
      </c>
      <c r="AE46" s="29" t="s">
        <v>425</v>
      </c>
      <c r="AF46" s="32">
        <v>31.46</v>
      </c>
      <c r="AG46" s="31">
        <v>0.9</v>
      </c>
      <c r="AH46" s="32">
        <f t="shared" si="12"/>
        <v>34.955555555555556</v>
      </c>
    </row>
    <row r="47" spans="6:34" x14ac:dyDescent="0.3">
      <c r="F47" s="29">
        <v>20</v>
      </c>
      <c r="G47" s="32">
        <f t="shared" ca="1" si="10"/>
        <v>1.4236343020322</v>
      </c>
      <c r="H47" s="30">
        <v>2</v>
      </c>
      <c r="I47" s="32">
        <f t="shared" ca="1" si="11"/>
        <v>2.8472686040644</v>
      </c>
      <c r="T47" s="52" t="s">
        <v>51</v>
      </c>
      <c r="U47" s="56">
        <v>0</v>
      </c>
      <c r="V47" s="52">
        <v>13.5</v>
      </c>
      <c r="W47" s="56">
        <f t="shared" si="7"/>
        <v>0</v>
      </c>
      <c r="X47" s="52">
        <v>22.4</v>
      </c>
      <c r="Y47" s="56">
        <f t="shared" si="8"/>
        <v>0</v>
      </c>
      <c r="Z47" s="52">
        <v>7.19</v>
      </c>
      <c r="AA47" s="56">
        <f t="shared" si="9"/>
        <v>0</v>
      </c>
      <c r="AB47" s="56">
        <f>IF(AND(AH28&lt;TTHH!D57,AH28&lt;&gt;0),TTHH!H57,0)</f>
        <v>0</v>
      </c>
      <c r="AE47" s="29" t="s">
        <v>426</v>
      </c>
      <c r="AF47" s="32">
        <v>0</v>
      </c>
      <c r="AG47" s="31">
        <v>0.9</v>
      </c>
      <c r="AH47" s="32">
        <f t="shared" si="12"/>
        <v>0</v>
      </c>
    </row>
    <row r="48" spans="6:34" x14ac:dyDescent="0.3">
      <c r="F48" s="29">
        <v>30</v>
      </c>
      <c r="G48" s="32">
        <f t="shared" ca="1" si="10"/>
        <v>2.2883976059663249</v>
      </c>
      <c r="H48" s="30">
        <v>4</v>
      </c>
      <c r="I48" s="32">
        <f t="shared" ca="1" si="11"/>
        <v>9.1535904238652996</v>
      </c>
      <c r="T48" s="52" t="s">
        <v>52</v>
      </c>
      <c r="U48" s="56">
        <v>0</v>
      </c>
      <c r="V48" s="52">
        <v>13.5</v>
      </c>
      <c r="W48" s="56">
        <f t="shared" si="7"/>
        <v>0</v>
      </c>
      <c r="X48" s="52">
        <v>20.8</v>
      </c>
      <c r="Y48" s="56">
        <f t="shared" si="8"/>
        <v>0</v>
      </c>
      <c r="Z48" s="52">
        <v>7.19</v>
      </c>
      <c r="AA48" s="56">
        <f t="shared" si="9"/>
        <v>0</v>
      </c>
      <c r="AB48" s="56">
        <f>IF(AND(AH29&lt;TTHH!D58,AH29&lt;&gt;0),TTHH!H58,0)</f>
        <v>0</v>
      </c>
      <c r="AE48" s="29" t="s">
        <v>427</v>
      </c>
      <c r="AF48" s="32">
        <v>0</v>
      </c>
      <c r="AG48" s="31">
        <v>0.9</v>
      </c>
      <c r="AH48" s="32">
        <f t="shared" si="12"/>
        <v>0</v>
      </c>
    </row>
    <row r="49" spans="6:34" x14ac:dyDescent="0.3">
      <c r="F49" s="29">
        <v>40</v>
      </c>
      <c r="G49" s="32">
        <f t="shared" ca="1" si="10"/>
        <v>2.7107549203470169</v>
      </c>
      <c r="H49" s="30">
        <v>1</v>
      </c>
      <c r="I49" s="32">
        <f t="shared" ca="1" si="11"/>
        <v>2.7107549203470169</v>
      </c>
      <c r="T49" s="52" t="s">
        <v>53</v>
      </c>
      <c r="U49" s="56">
        <v>42.94</v>
      </c>
      <c r="V49" s="52">
        <v>13.5</v>
      </c>
      <c r="W49" s="56">
        <f t="shared" si="7"/>
        <v>579.68999999999994</v>
      </c>
      <c r="X49" s="52">
        <v>24</v>
      </c>
      <c r="Y49" s="56">
        <f t="shared" si="8"/>
        <v>1030.56</v>
      </c>
      <c r="Z49" s="52">
        <v>7.19</v>
      </c>
      <c r="AA49" s="56">
        <f t="shared" si="9"/>
        <v>308.73860000000002</v>
      </c>
      <c r="AB49" s="56">
        <f>IF(AND(AH30&lt;TTHH!D59,AH30&lt;&gt;0),TTHH!H59,0)</f>
        <v>0</v>
      </c>
      <c r="AE49" s="29" t="s">
        <v>428</v>
      </c>
      <c r="AF49" s="32">
        <v>0</v>
      </c>
      <c r="AG49" s="31">
        <v>0.9</v>
      </c>
      <c r="AH49" s="32">
        <f t="shared" si="12"/>
        <v>0</v>
      </c>
    </row>
    <row r="50" spans="6:34" x14ac:dyDescent="0.3">
      <c r="F50" s="29">
        <v>50</v>
      </c>
      <c r="G50" s="32">
        <f t="shared" ca="1" si="10"/>
        <v>2.7237581024699837</v>
      </c>
      <c r="H50" s="30">
        <v>1</v>
      </c>
      <c r="I50" s="32">
        <f t="shared" ca="1" si="11"/>
        <v>2.7237581024699837</v>
      </c>
      <c r="T50" s="52" t="s">
        <v>54</v>
      </c>
      <c r="U50" s="56">
        <v>8.5879999999999992</v>
      </c>
      <c r="V50" s="52">
        <v>13.5</v>
      </c>
      <c r="W50" s="56">
        <f t="shared" si="7"/>
        <v>115.93799999999999</v>
      </c>
      <c r="X50" s="52">
        <v>19.2</v>
      </c>
      <c r="Y50" s="56">
        <f t="shared" si="8"/>
        <v>164.88959999999997</v>
      </c>
      <c r="Z50" s="52">
        <v>7.19</v>
      </c>
      <c r="AA50" s="56">
        <f t="shared" si="9"/>
        <v>61.747720000000001</v>
      </c>
      <c r="AB50" s="56">
        <f>IF(AND(AH31&lt;TTHH!D60,AH31&lt;&gt;0),TTHH!H60,0)</f>
        <v>4</v>
      </c>
      <c r="AE50" s="29" t="s">
        <v>429</v>
      </c>
      <c r="AF50" s="32">
        <v>1.08</v>
      </c>
      <c r="AG50" s="31">
        <v>0.9</v>
      </c>
      <c r="AH50" s="32">
        <f t="shared" si="12"/>
        <v>1.2</v>
      </c>
    </row>
    <row r="51" spans="6:34" x14ac:dyDescent="0.3">
      <c r="F51" s="29">
        <v>60</v>
      </c>
      <c r="G51" s="32">
        <f t="shared" ca="1" si="10"/>
        <v>2.3253319655414026</v>
      </c>
      <c r="H51" s="30">
        <v>4</v>
      </c>
      <c r="I51" s="32">
        <f t="shared" ca="1" si="11"/>
        <v>9.3013278621656106</v>
      </c>
      <c r="T51" s="52" t="s">
        <v>55</v>
      </c>
      <c r="U51" s="56">
        <v>4.3890000000000002</v>
      </c>
      <c r="V51" s="52">
        <v>1.31</v>
      </c>
      <c r="W51" s="56">
        <f t="shared" si="7"/>
        <v>5.7495900000000004</v>
      </c>
      <c r="X51" s="52">
        <v>22.69</v>
      </c>
      <c r="Y51" s="56">
        <f t="shared" si="8"/>
        <v>99.586410000000015</v>
      </c>
      <c r="Z51" s="52">
        <v>3.19</v>
      </c>
      <c r="AA51" s="56">
        <f t="shared" si="9"/>
        <v>14.000910000000001</v>
      </c>
      <c r="AB51" s="56">
        <f>IF(AND(AH32&lt;TTHH!D61,AH32&lt;&gt;0),TTHH!H61,0)</f>
        <v>27</v>
      </c>
      <c r="AE51" s="29" t="s">
        <v>430</v>
      </c>
      <c r="AF51" s="32">
        <v>0.72000000000000008</v>
      </c>
      <c r="AG51" s="31">
        <v>0.9</v>
      </c>
      <c r="AH51" s="32">
        <f t="shared" si="12"/>
        <v>0.8</v>
      </c>
    </row>
    <row r="52" spans="6:34" x14ac:dyDescent="0.3">
      <c r="F52" s="29">
        <v>75</v>
      </c>
      <c r="G52" s="32">
        <f t="shared" ca="1" si="10"/>
        <v>1.3175708765721488</v>
      </c>
      <c r="H52" s="30">
        <v>1</v>
      </c>
      <c r="I52" s="32">
        <f t="shared" ca="1" si="11"/>
        <v>1.3175708765721488</v>
      </c>
      <c r="T52" s="54" t="s">
        <v>57</v>
      </c>
      <c r="U52" s="38"/>
      <c r="V52" s="38"/>
      <c r="W52" s="38"/>
      <c r="X52" s="38"/>
      <c r="Y52" s="38"/>
      <c r="Z52" s="38"/>
      <c r="AA52" s="38"/>
      <c r="AB52" s="38"/>
      <c r="AE52" s="29" t="s">
        <v>431</v>
      </c>
      <c r="AF52" s="32">
        <v>0.72000000000000008</v>
      </c>
      <c r="AG52" s="31">
        <v>0.9</v>
      </c>
      <c r="AH52" s="32">
        <f t="shared" si="12"/>
        <v>0.8</v>
      </c>
    </row>
    <row r="53" spans="6:34" x14ac:dyDescent="0.3">
      <c r="T53" s="52" t="s">
        <v>58</v>
      </c>
      <c r="U53" s="56" cm="1">
        <f t="array" ref="U53:U56">Consumos!O21:O24</f>
        <v>114.42646660339534</v>
      </c>
      <c r="V53" s="52" cm="1">
        <f t="array" ref="V53:V56">Tabla19[[#All],[Columna5]]</f>
        <v>15.65</v>
      </c>
      <c r="W53" s="56">
        <f>U53*V53</f>
        <v>1790.7742023431372</v>
      </c>
      <c r="X53" s="52" cm="1">
        <f t="array" ref="X53:X56">Tabla19[[#All],[Columna3]]</f>
        <v>14.2</v>
      </c>
      <c r="Y53" s="56">
        <f>U53*X53</f>
        <v>1624.8558257682137</v>
      </c>
      <c r="Z53" s="52" cm="1">
        <f t="array" ref="Z53:Z56">Tabla19[[#All],[Columna4]]</f>
        <v>11.76</v>
      </c>
      <c r="AA53" s="56">
        <f>U53*Z53</f>
        <v>1345.6552472559292</v>
      </c>
      <c r="AB53" s="56">
        <f>IF(AND(AH36&lt;TTHH!D69,AH36&lt;&gt;0),TTHH!H69,0)</f>
        <v>211</v>
      </c>
    </row>
    <row r="54" spans="6:34" x14ac:dyDescent="0.3">
      <c r="F54" s="29" t="s">
        <v>554</v>
      </c>
      <c r="G54" s="32">
        <f ca="1">(0.0872664626/3)*SUM(I43:I48)</f>
        <v>0.51094602969949177</v>
      </c>
      <c r="T54" s="52" t="s">
        <v>59</v>
      </c>
      <c r="U54" s="56">
        <v>3.4864999999999995</v>
      </c>
      <c r="V54" s="52">
        <v>15.75</v>
      </c>
      <c r="W54" s="56">
        <f>U54*V54</f>
        <v>54.91237499999999</v>
      </c>
      <c r="X54" s="52">
        <v>15.2</v>
      </c>
      <c r="Y54" s="56">
        <f>U54*X54</f>
        <v>52.994799999999991</v>
      </c>
      <c r="Z54" s="52">
        <v>7.19</v>
      </c>
      <c r="AA54" s="56">
        <f>U54*Z54</f>
        <v>25.067934999999999</v>
      </c>
      <c r="AB54" s="56">
        <f>IF(AND(AH37&lt;TTHH!D70,AH37&lt;&gt;0),TTHH!H70,0)</f>
        <v>4</v>
      </c>
    </row>
    <row r="55" spans="6:34" x14ac:dyDescent="0.3">
      <c r="F55" s="29" t="s">
        <v>555</v>
      </c>
      <c r="G55" s="32">
        <f ca="1">(0.0872664626/3)*SUM(I48:I49)</f>
        <v>0.34511981641806277</v>
      </c>
      <c r="T55" s="52" t="s">
        <v>60</v>
      </c>
      <c r="U55" s="56">
        <v>4.6620000000000026</v>
      </c>
      <c r="V55" s="52">
        <v>15.75</v>
      </c>
      <c r="W55" s="56">
        <f>U55*V55</f>
        <v>73.426500000000047</v>
      </c>
      <c r="X55" s="52">
        <v>12</v>
      </c>
      <c r="Y55" s="56">
        <f>U55*X55</f>
        <v>55.944000000000031</v>
      </c>
      <c r="Z55" s="52">
        <v>7.19</v>
      </c>
      <c r="AA55" s="56">
        <f>U55*Z55</f>
        <v>33.519780000000019</v>
      </c>
      <c r="AB55" s="56">
        <f>IF(AND(AH38&lt;TTHH!D71,AH38&lt;&gt;0),TTHH!H71,0)</f>
        <v>4</v>
      </c>
      <c r="AE55" s="29" t="s">
        <v>79</v>
      </c>
      <c r="AF55" s="29" t="s">
        <v>463</v>
      </c>
      <c r="AG55" s="29" t="s">
        <v>359</v>
      </c>
      <c r="AH55" s="29" t="s">
        <v>529</v>
      </c>
    </row>
    <row r="56" spans="6:34" x14ac:dyDescent="0.3">
      <c r="F56" s="29" t="s">
        <v>556</v>
      </c>
      <c r="G56" s="32">
        <f ca="1">(0.0872664626/3)*SUM(I43:I49)</f>
        <v>0.58979869399090146</v>
      </c>
      <c r="T56" s="52" t="s">
        <v>61</v>
      </c>
      <c r="U56" s="56">
        <v>3.4578000000000002</v>
      </c>
      <c r="V56" s="52">
        <v>15.75</v>
      </c>
      <c r="W56" s="56">
        <f>U56*V56</f>
        <v>54.460350000000005</v>
      </c>
      <c r="X56" s="52">
        <v>13.6</v>
      </c>
      <c r="Y56" s="56">
        <f>U56*X56</f>
        <v>47.02608</v>
      </c>
      <c r="Z56" s="52">
        <v>7.19</v>
      </c>
      <c r="AA56" s="56">
        <f>U56*Z56</f>
        <v>24.861582000000002</v>
      </c>
      <c r="AB56" s="56">
        <f>IF(AND(AH39&lt;TTHH!D72,AH39&lt;&gt;0),TTHH!H72,0)</f>
        <v>4</v>
      </c>
      <c r="AE56" s="29" t="s">
        <v>433</v>
      </c>
      <c r="AF56" s="32" cm="1">
        <f t="array" ref="AF56:AF58">Consumos!Z22:Z24</f>
        <v>0</v>
      </c>
      <c r="AG56" s="31" cm="1">
        <f t="array" ref="AG56:AG58">'Carga y Reparto'!Q81:Q83</f>
        <v>0.9</v>
      </c>
      <c r="AH56" s="32">
        <f>IFERROR(AF56/AG56,0)</f>
        <v>0</v>
      </c>
    </row>
    <row r="57" spans="6:34" x14ac:dyDescent="0.3">
      <c r="T57" s="54" t="s">
        <v>63</v>
      </c>
      <c r="U57" s="38"/>
      <c r="V57" s="38"/>
      <c r="W57" s="38"/>
      <c r="X57" s="38"/>
      <c r="Y57" s="38"/>
      <c r="Z57" s="38"/>
      <c r="AA57" s="38"/>
      <c r="AB57" s="38"/>
      <c r="AE57" s="29" t="s">
        <v>434</v>
      </c>
      <c r="AF57" s="32">
        <v>0</v>
      </c>
      <c r="AG57" s="31">
        <v>0.9</v>
      </c>
      <c r="AH57" s="32">
        <f>IFERROR(AF57/AG57,0)</f>
        <v>0</v>
      </c>
    </row>
    <row r="58" spans="6:34" x14ac:dyDescent="0.3">
      <c r="T58" s="52" t="s">
        <v>65</v>
      </c>
      <c r="U58" s="56" cm="1">
        <f t="array" ref="U58:U67">Consumos!Z9:Z18</f>
        <v>17.067155534465115</v>
      </c>
      <c r="V58" s="52" cm="1">
        <f t="array" ref="V58:V67">Tabla20[[#All],[Columna5]]</f>
        <v>11.77</v>
      </c>
      <c r="W58" s="56">
        <f t="shared" ref="W58:W67" si="13">U58*V58</f>
        <v>200.88042064065439</v>
      </c>
      <c r="X58" s="52" cm="1">
        <f t="array" ref="X58:X67">Tabla20[[#All],[Columna3]]</f>
        <v>6.81</v>
      </c>
      <c r="Y58" s="56">
        <f t="shared" ref="Y58:Y67" si="14">U58*X58</f>
        <v>116.22732918970743</v>
      </c>
      <c r="Z58" s="52" cm="1">
        <f t="array" ref="Z58:Z67">Tabla20[[#All],[Columna4]]</f>
        <v>8.43</v>
      </c>
      <c r="AA58" s="56">
        <f t="shared" ref="AA58:AA67" si="15">U58*Z58</f>
        <v>143.87612115554091</v>
      </c>
      <c r="AB58" s="56">
        <f>IF(AND(AH43&lt;TTHH!D80,AH43&lt;&gt;0),TTHH!H80,0)</f>
        <v>0</v>
      </c>
      <c r="AE58" s="29" t="s">
        <v>435</v>
      </c>
      <c r="AF58" s="32">
        <v>0</v>
      </c>
      <c r="AG58" s="31">
        <v>0.9</v>
      </c>
      <c r="AH58" s="32">
        <f>IFERROR(AF58/AG58,0)</f>
        <v>0</v>
      </c>
    </row>
    <row r="59" spans="6:34" x14ac:dyDescent="0.3">
      <c r="T59" s="52" t="s">
        <v>66</v>
      </c>
      <c r="U59" s="56">
        <v>16.829999999999998</v>
      </c>
      <c r="V59" s="52">
        <v>11.69</v>
      </c>
      <c r="W59" s="56">
        <f t="shared" si="13"/>
        <v>196.74269999999999</v>
      </c>
      <c r="X59" s="52">
        <v>7.61</v>
      </c>
      <c r="Y59" s="56">
        <f t="shared" si="14"/>
        <v>128.0763</v>
      </c>
      <c r="Z59" s="52">
        <v>8.57</v>
      </c>
      <c r="AA59" s="56">
        <f t="shared" si="15"/>
        <v>144.23309999999998</v>
      </c>
      <c r="AB59" s="56">
        <f>IF(AND(AH44&lt;TTHH!D81,AH44&lt;&gt;0),TTHH!H81,0)</f>
        <v>0</v>
      </c>
    </row>
    <row r="60" spans="6:34" x14ac:dyDescent="0.3">
      <c r="T60" s="52" t="s">
        <v>67</v>
      </c>
      <c r="U60" s="56">
        <v>9.68</v>
      </c>
      <c r="V60" s="52">
        <v>11.63</v>
      </c>
      <c r="W60" s="56">
        <f t="shared" si="13"/>
        <v>112.5784</v>
      </c>
      <c r="X60" s="52">
        <v>8.4</v>
      </c>
      <c r="Y60" s="56">
        <f t="shared" si="14"/>
        <v>81.311999999999998</v>
      </c>
      <c r="Z60" s="52">
        <v>8.7200000000000006</v>
      </c>
      <c r="AA60" s="56">
        <f t="shared" si="15"/>
        <v>84.409599999999998</v>
      </c>
      <c r="AB60" s="56">
        <f>IF(AND(AH45&lt;TTHH!D82,AH45&lt;&gt;0),TTHH!H82,0)</f>
        <v>36</v>
      </c>
    </row>
    <row r="61" spans="6:34" x14ac:dyDescent="0.3">
      <c r="T61" s="52" t="s">
        <v>68</v>
      </c>
      <c r="U61" s="56">
        <v>31.46</v>
      </c>
      <c r="V61" s="52">
        <v>11.56</v>
      </c>
      <c r="W61" s="56">
        <f t="shared" si="13"/>
        <v>363.67760000000004</v>
      </c>
      <c r="X61" s="52">
        <v>9.6199999999999992</v>
      </c>
      <c r="Y61" s="56">
        <f t="shared" si="14"/>
        <v>302.64519999999999</v>
      </c>
      <c r="Z61" s="52">
        <v>8.94</v>
      </c>
      <c r="AA61" s="56">
        <f t="shared" si="15"/>
        <v>281.25239999999997</v>
      </c>
      <c r="AB61" s="56">
        <f>IF(AND(AH46&lt;TTHH!D83,AH46&lt;&gt;0),TTHH!H83,0)</f>
        <v>81</v>
      </c>
      <c r="AE61" s="29" t="s">
        <v>84</v>
      </c>
      <c r="AF61" s="29" t="s">
        <v>463</v>
      </c>
      <c r="AG61" s="29" t="s">
        <v>359</v>
      </c>
      <c r="AH61" s="29" t="s">
        <v>529</v>
      </c>
    </row>
    <row r="62" spans="6:34" x14ac:dyDescent="0.3">
      <c r="T62" s="52" t="s">
        <v>69</v>
      </c>
      <c r="U62" s="56">
        <v>0</v>
      </c>
      <c r="V62" s="52">
        <v>1.31</v>
      </c>
      <c r="W62" s="56">
        <f t="shared" si="13"/>
        <v>0</v>
      </c>
      <c r="X62" s="52">
        <v>18</v>
      </c>
      <c r="Y62" s="56">
        <f t="shared" si="14"/>
        <v>0</v>
      </c>
      <c r="Z62" s="52">
        <v>0</v>
      </c>
      <c r="AA62" s="56">
        <f t="shared" si="15"/>
        <v>0</v>
      </c>
      <c r="AB62" s="56">
        <f>IF(AND(AH47&lt;TTHH!D84,AH47&lt;&gt;0),TTHH!H84,0)</f>
        <v>0</v>
      </c>
      <c r="AE62" s="29" t="s">
        <v>85</v>
      </c>
      <c r="AF62" s="32" cm="1">
        <f t="array" ref="AF62:AF66">Consumos!AK9:AK13</f>
        <v>0</v>
      </c>
      <c r="AG62" s="31" cm="1">
        <f t="array" ref="AG62:AG66">'Carga y Reparto'!Q87:Q91</f>
        <v>1</v>
      </c>
      <c r="AH62" s="32">
        <f>IFERROR(AF62/AG62,0)</f>
        <v>0</v>
      </c>
    </row>
    <row r="63" spans="6:34" x14ac:dyDescent="0.3">
      <c r="T63" s="52" t="s">
        <v>70</v>
      </c>
      <c r="U63" s="56">
        <v>0</v>
      </c>
      <c r="V63" s="52">
        <v>15.65</v>
      </c>
      <c r="W63" s="56">
        <f t="shared" si="13"/>
        <v>0</v>
      </c>
      <c r="X63" s="52">
        <v>2</v>
      </c>
      <c r="Y63" s="56">
        <f t="shared" si="14"/>
        <v>0</v>
      </c>
      <c r="Z63" s="52">
        <v>3.2</v>
      </c>
      <c r="AA63" s="56">
        <f t="shared" si="15"/>
        <v>0</v>
      </c>
      <c r="AB63" s="56">
        <f>IF(AND(AH48&lt;TTHH!D85,AH48&lt;&gt;0),TTHH!H85,0)</f>
        <v>0</v>
      </c>
      <c r="AE63" s="29" t="s">
        <v>437</v>
      </c>
      <c r="AF63" s="32">
        <v>0</v>
      </c>
      <c r="AG63" s="31">
        <v>1</v>
      </c>
      <c r="AH63" s="32">
        <f>IFERROR(AF63/AG63,0)</f>
        <v>0</v>
      </c>
    </row>
    <row r="64" spans="6:34" x14ac:dyDescent="0.3">
      <c r="T64" s="52" t="s">
        <v>71</v>
      </c>
      <c r="U64" s="56">
        <v>0</v>
      </c>
      <c r="V64" s="52">
        <v>15.65</v>
      </c>
      <c r="W64" s="56">
        <f t="shared" si="13"/>
        <v>0</v>
      </c>
      <c r="X64" s="52">
        <v>2</v>
      </c>
      <c r="Y64" s="56">
        <f t="shared" si="14"/>
        <v>0</v>
      </c>
      <c r="Z64" s="52">
        <v>4.8</v>
      </c>
      <c r="AA64" s="56">
        <f t="shared" si="15"/>
        <v>0</v>
      </c>
      <c r="AB64" s="56">
        <f>IF(AND(AH49&lt;TTHH!D86,AH49&lt;&gt;0),TTHH!H86,0)</f>
        <v>0</v>
      </c>
      <c r="AE64" s="29" t="s">
        <v>438</v>
      </c>
      <c r="AF64" s="32">
        <v>0</v>
      </c>
      <c r="AG64" s="31">
        <v>1</v>
      </c>
      <c r="AH64" s="32">
        <f>IFERROR(AF64/AG64,0)</f>
        <v>0</v>
      </c>
    </row>
    <row r="65" spans="20:34" x14ac:dyDescent="0.3">
      <c r="T65" s="52" t="s">
        <v>72</v>
      </c>
      <c r="U65" s="56">
        <v>1.08</v>
      </c>
      <c r="V65" s="52">
        <v>14.8</v>
      </c>
      <c r="W65" s="56">
        <f t="shared" si="13"/>
        <v>15.984000000000002</v>
      </c>
      <c r="X65" s="52">
        <v>1.2</v>
      </c>
      <c r="Y65" s="56">
        <f t="shared" si="14"/>
        <v>1.296</v>
      </c>
      <c r="Z65" s="52">
        <v>-2.9</v>
      </c>
      <c r="AA65" s="56">
        <f t="shared" si="15"/>
        <v>-3.1320000000000001</v>
      </c>
      <c r="AB65" s="56">
        <f>IF(AND(AH50&lt;TTHH!D87,AH50&lt;&gt;0),TTHH!H87,0)</f>
        <v>0</v>
      </c>
      <c r="AE65" s="29" t="s">
        <v>440</v>
      </c>
      <c r="AF65" s="32">
        <v>0</v>
      </c>
      <c r="AG65" s="31">
        <v>1</v>
      </c>
      <c r="AH65" s="32">
        <f>IFERROR(AF65/AG65,0)</f>
        <v>0</v>
      </c>
    </row>
    <row r="66" spans="20:34" x14ac:dyDescent="0.3">
      <c r="T66" s="52" t="s">
        <v>73</v>
      </c>
      <c r="U66" s="56">
        <v>0.72000000000000008</v>
      </c>
      <c r="V66" s="52">
        <v>14.5</v>
      </c>
      <c r="W66" s="56">
        <f t="shared" si="13"/>
        <v>10.440000000000001</v>
      </c>
      <c r="X66" s="52">
        <v>26.2</v>
      </c>
      <c r="Y66" s="56">
        <f t="shared" si="14"/>
        <v>18.864000000000001</v>
      </c>
      <c r="Z66" s="52">
        <v>-2.8</v>
      </c>
      <c r="AA66" s="56">
        <f t="shared" si="15"/>
        <v>-2.016</v>
      </c>
      <c r="AB66" s="56">
        <f>IF(AND(AH51&lt;TTHH!D88,AH51&lt;&gt;0),TTHH!H88,0)</f>
        <v>0</v>
      </c>
      <c r="AE66" s="29" t="s">
        <v>439</v>
      </c>
      <c r="AF66" s="32">
        <v>0</v>
      </c>
      <c r="AG66" s="31">
        <v>1</v>
      </c>
      <c r="AH66" s="32">
        <f>IFERROR(AF66/AG66,0)</f>
        <v>0</v>
      </c>
    </row>
    <row r="67" spans="20:34" x14ac:dyDescent="0.3">
      <c r="T67" s="52" t="s">
        <v>74</v>
      </c>
      <c r="U67" s="56">
        <v>0.72000000000000008</v>
      </c>
      <c r="V67" s="52">
        <v>14.5</v>
      </c>
      <c r="W67" s="56">
        <f t="shared" si="13"/>
        <v>10.440000000000001</v>
      </c>
      <c r="X67" s="52">
        <v>26.2</v>
      </c>
      <c r="Y67" s="56">
        <f t="shared" si="14"/>
        <v>18.864000000000001</v>
      </c>
      <c r="Z67" s="52">
        <v>-3.6</v>
      </c>
      <c r="AA67" s="56">
        <f t="shared" si="15"/>
        <v>-2.5920000000000005</v>
      </c>
      <c r="AB67" s="56">
        <f>IF(AND(AH52&lt;TTHH!D89,AH52&lt;&gt;0),TTHH!H89,0)</f>
        <v>0</v>
      </c>
    </row>
    <row r="68" spans="20:34" x14ac:dyDescent="0.3">
      <c r="T68" s="54" t="s">
        <v>75</v>
      </c>
      <c r="U68" s="38"/>
      <c r="V68" s="38"/>
      <c r="W68" s="38"/>
      <c r="X68" s="38"/>
      <c r="Y68" s="38"/>
      <c r="Z68" s="38"/>
      <c r="AA68" s="38"/>
      <c r="AB68" s="38"/>
    </row>
    <row r="69" spans="20:34" x14ac:dyDescent="0.3">
      <c r="T69" s="52" t="s">
        <v>76</v>
      </c>
      <c r="U69" s="56" cm="1">
        <f t="array" ref="U69:U70">Consumos!AK17:AK18</f>
        <v>85.434311068930228</v>
      </c>
      <c r="V69" s="52" cm="1">
        <f t="array" ref="V69:V70">TTHH!G97:G98</f>
        <v>15.85</v>
      </c>
      <c r="W69" s="56">
        <f>U69*V69</f>
        <v>1354.1338304425442</v>
      </c>
      <c r="X69" s="52" cm="1">
        <f t="array" ref="X69:X70">TTHH!E97:E98</f>
        <v>-0.81</v>
      </c>
      <c r="Y69" s="56">
        <f>U69*X69</f>
        <v>-69.201791965833493</v>
      </c>
      <c r="Z69" s="52" cm="1">
        <f t="array" ref="Z69:Z70">TTHH!F97:F98</f>
        <v>-8.2200000000000006</v>
      </c>
      <c r="AA69" s="56">
        <f>U69*Z69</f>
        <v>-702.27003698660656</v>
      </c>
      <c r="AB69" s="56">
        <f>IF(AND(AH70&lt;TTHH!D97,AH70),TTHH!H97,0)</f>
        <v>87</v>
      </c>
      <c r="AE69" s="29" t="s">
        <v>75</v>
      </c>
      <c r="AF69" s="29" t="s">
        <v>463</v>
      </c>
      <c r="AG69" s="29" t="s">
        <v>359</v>
      </c>
      <c r="AH69" s="29" t="s">
        <v>529</v>
      </c>
    </row>
    <row r="70" spans="20:34" x14ac:dyDescent="0.3">
      <c r="T70" s="52" t="s">
        <v>77</v>
      </c>
      <c r="U70" s="56">
        <v>0</v>
      </c>
      <c r="V70" s="52">
        <v>15.85</v>
      </c>
      <c r="W70" s="56">
        <f>U70*V70</f>
        <v>0</v>
      </c>
      <c r="X70" s="52">
        <v>-0.81</v>
      </c>
      <c r="Y70" s="56">
        <f>U70*X70</f>
        <v>0</v>
      </c>
      <c r="Z70" s="52">
        <v>8.2200000000000006</v>
      </c>
      <c r="AA70" s="56">
        <f>U70*Z70</f>
        <v>0</v>
      </c>
      <c r="AB70" s="56">
        <f>IF(AND(AH71&lt;TTHH!D98,AH71),TTHH!H98,0)</f>
        <v>0</v>
      </c>
      <c r="AE70" s="29" t="s">
        <v>76</v>
      </c>
      <c r="AF70" s="32" cm="1">
        <f t="array" ref="AF70:AF71">Consumos!AK17:AK18</f>
        <v>85.434311068930228</v>
      </c>
      <c r="AG70" s="31" cm="1">
        <f t="array" ref="AG70:AG71">'Carga y Reparto'!Q76:Q77</f>
        <v>1</v>
      </c>
      <c r="AH70" s="32">
        <f>IFERROR(AF70/AG70,0)</f>
        <v>85.434311068930228</v>
      </c>
    </row>
    <row r="71" spans="20:34" x14ac:dyDescent="0.3">
      <c r="T71" s="54" t="s">
        <v>79</v>
      </c>
      <c r="U71" s="38"/>
      <c r="V71" s="38"/>
      <c r="W71" s="38"/>
      <c r="X71" s="38"/>
      <c r="Y71" s="38"/>
      <c r="Z71" s="38"/>
      <c r="AA71" s="38"/>
      <c r="AB71" s="38"/>
      <c r="AE71" s="29" t="s">
        <v>77</v>
      </c>
      <c r="AF71" s="32">
        <v>0</v>
      </c>
      <c r="AG71" s="31">
        <v>1</v>
      </c>
      <c r="AH71" s="32">
        <f>IFERROR(AF71/AG71,0)</f>
        <v>0</v>
      </c>
    </row>
    <row r="72" spans="20:34" x14ac:dyDescent="0.3">
      <c r="T72" s="52" t="s">
        <v>80</v>
      </c>
      <c r="U72" s="56" cm="1">
        <f t="array" ref="U72:U74">Consumos!Z22:Z24</f>
        <v>0</v>
      </c>
      <c r="V72" s="52" cm="1">
        <f t="array" ref="V72:V74">TTHH!G106:G108</f>
        <v>1.5</v>
      </c>
      <c r="W72" s="56">
        <f>U72*V72</f>
        <v>0</v>
      </c>
      <c r="X72" s="52" cm="1">
        <f t="array" ref="X72:X74">TTHH!E106:E108</f>
        <v>16.23</v>
      </c>
      <c r="Y72" s="56">
        <f>U72*X72</f>
        <v>0</v>
      </c>
      <c r="Z72" s="52" cm="1">
        <f t="array" ref="Z72:Z74">TTHH!F106:F108</f>
        <v>-2.4500000000000002</v>
      </c>
      <c r="AA72" s="56">
        <f>U72*Z72</f>
        <v>0</v>
      </c>
      <c r="AB72" s="56">
        <f>IF(AND(AH56&lt;TTHH!D106,AH56&lt;&gt;0),TTHH!H106,0)</f>
        <v>0</v>
      </c>
    </row>
    <row r="73" spans="20:34" x14ac:dyDescent="0.3">
      <c r="T73" s="52" t="s">
        <v>81</v>
      </c>
      <c r="U73" s="56">
        <v>0</v>
      </c>
      <c r="V73" s="52">
        <v>1.46</v>
      </c>
      <c r="W73" s="56">
        <f>U73*V73</f>
        <v>0</v>
      </c>
      <c r="X73" s="52">
        <v>17.25</v>
      </c>
      <c r="Y73" s="56">
        <f>U73*X73</f>
        <v>0</v>
      </c>
      <c r="Z73" s="52">
        <v>2.56</v>
      </c>
      <c r="AA73" s="56">
        <f>U73*Z73</f>
        <v>0</v>
      </c>
      <c r="AB73" s="56">
        <f>IF(AND(AH57&lt;TTHH!D107,AH57&lt;&gt;0),TTHH!H107,0)</f>
        <v>0</v>
      </c>
    </row>
    <row r="74" spans="20:34" x14ac:dyDescent="0.3">
      <c r="T74" s="52" t="s">
        <v>82</v>
      </c>
      <c r="U74" s="56">
        <v>0</v>
      </c>
      <c r="V74" s="52">
        <v>1.58</v>
      </c>
      <c r="W74" s="56">
        <f>U74*V74</f>
        <v>0</v>
      </c>
      <c r="X74" s="52">
        <v>8.89</v>
      </c>
      <c r="Y74" s="56">
        <f>U74*X74</f>
        <v>0</v>
      </c>
      <c r="Z74" s="52">
        <v>0</v>
      </c>
      <c r="AA74" s="56">
        <f>U74*Z74</f>
        <v>0</v>
      </c>
      <c r="AB74" s="56">
        <f>IF(AND(AH58&lt;TTHH!D108,AH58&lt;&gt;0),TTHH!H108,0)</f>
        <v>0</v>
      </c>
    </row>
    <row r="75" spans="20:34" x14ac:dyDescent="0.3">
      <c r="T75" s="54" t="s">
        <v>84</v>
      </c>
      <c r="U75" s="38"/>
      <c r="V75" s="38"/>
      <c r="W75" s="38"/>
      <c r="X75" s="38"/>
      <c r="Y75" s="38"/>
      <c r="Z75" s="38"/>
      <c r="AA75" s="38"/>
      <c r="AB75" s="38"/>
    </row>
    <row r="76" spans="20:34" x14ac:dyDescent="0.3">
      <c r="T76" s="52" t="s">
        <v>85</v>
      </c>
      <c r="U76" s="56" cm="1">
        <f t="array" ref="U76:U80">Consumos!AK9:AK13</f>
        <v>0</v>
      </c>
      <c r="V76" s="52" cm="1">
        <f t="array" ref="V76:V80">Tabla21[[#All],[Columna5]]</f>
        <v>3.23</v>
      </c>
      <c r="W76" s="56">
        <f>U76*V76</f>
        <v>0</v>
      </c>
      <c r="X76" s="52" cm="1">
        <f t="array" ref="X76:X80">Tabla21[[#All],[Columna3]]</f>
        <v>7.26</v>
      </c>
      <c r="Y76" s="56">
        <f>U76*X76</f>
        <v>0</v>
      </c>
      <c r="Z76" s="52" cm="1">
        <f t="array" ref="Z76:Z80">Tabla21[[#All],[Columna4]]</f>
        <v>0</v>
      </c>
      <c r="AA76" s="56">
        <f>U76*Z76</f>
        <v>0</v>
      </c>
      <c r="AB76" s="56">
        <f>IF(AND(AH62&lt;TTHH!D116,AH62&lt;&gt;0),TTHH!H116,0)</f>
        <v>0</v>
      </c>
    </row>
    <row r="77" spans="20:34" x14ac:dyDescent="0.3">
      <c r="T77" s="52" t="s">
        <v>86</v>
      </c>
      <c r="U77" s="56">
        <v>0</v>
      </c>
      <c r="V77" s="52">
        <v>11.61</v>
      </c>
      <c r="W77" s="56">
        <f>U77*V77</f>
        <v>0</v>
      </c>
      <c r="X77" s="52">
        <v>8.9600000000000009</v>
      </c>
      <c r="Y77" s="56">
        <f>U77*X77</f>
        <v>0</v>
      </c>
      <c r="Z77" s="52">
        <v>8.82</v>
      </c>
      <c r="AA77" s="56">
        <f>U77*Z77</f>
        <v>0</v>
      </c>
      <c r="AB77" s="56">
        <f>IF(AND(AH63&lt;TTHH!D117,AH63&lt;&gt;0),TTHH!H117,0)</f>
        <v>0</v>
      </c>
    </row>
    <row r="78" spans="20:34" x14ac:dyDescent="0.3">
      <c r="T78" s="52" t="s">
        <v>87</v>
      </c>
      <c r="U78" s="56">
        <v>0</v>
      </c>
      <c r="V78" s="52">
        <v>1.27</v>
      </c>
      <c r="W78" s="56">
        <f>U78*V78</f>
        <v>0</v>
      </c>
      <c r="X78" s="52">
        <v>23.4</v>
      </c>
      <c r="Y78" s="56">
        <f>U78*X78</f>
        <v>0</v>
      </c>
      <c r="Z78" s="52">
        <v>3.18</v>
      </c>
      <c r="AA78" s="56">
        <f>U78*Z78</f>
        <v>0</v>
      </c>
      <c r="AB78" s="56">
        <f>IF(AND(AH64&lt;TTHH!D118,AH64&lt;&gt;0),TTHH!H118,0)</f>
        <v>0</v>
      </c>
    </row>
    <row r="79" spans="20:34" x14ac:dyDescent="0.3">
      <c r="T79" s="52" t="s">
        <v>88</v>
      </c>
      <c r="U79" s="56">
        <v>0</v>
      </c>
      <c r="V79" s="52">
        <v>1.34</v>
      </c>
      <c r="W79" s="56">
        <f>U79*V79</f>
        <v>0</v>
      </c>
      <c r="X79" s="52">
        <v>11.95</v>
      </c>
      <c r="Y79" s="56">
        <f>U79*X79</f>
        <v>0</v>
      </c>
      <c r="Z79" s="52">
        <v>-0.18</v>
      </c>
      <c r="AA79" s="56">
        <f>U79*Z79</f>
        <v>0</v>
      </c>
      <c r="AB79" s="56">
        <f>IF(AND(AH65&lt;TTHH!D119,AH65&lt;&gt;0),TTHH!H119,0)</f>
        <v>0</v>
      </c>
    </row>
    <row r="80" spans="20:34" x14ac:dyDescent="0.3">
      <c r="T80" s="52" t="s">
        <v>89</v>
      </c>
      <c r="U80" s="56">
        <v>0</v>
      </c>
      <c r="V80" s="52">
        <v>1.28</v>
      </c>
      <c r="W80" s="56">
        <f>U80*V80</f>
        <v>0</v>
      </c>
      <c r="X80" s="52">
        <v>13.21</v>
      </c>
      <c r="Y80" s="56">
        <f>U80*X80</f>
        <v>0</v>
      </c>
      <c r="Z80" s="52">
        <v>1.03</v>
      </c>
      <c r="AA80" s="56">
        <f>U80*Z80</f>
        <v>0</v>
      </c>
      <c r="AB80" s="56">
        <f>IF(AND(AH66&lt;TTHH!D120,AH66&lt;&gt;0),TTHH!H120,0)</f>
        <v>0</v>
      </c>
    </row>
    <row r="81" spans="20:28" x14ac:dyDescent="0.3">
      <c r="T81" s="38"/>
      <c r="U81" s="38"/>
      <c r="V81" s="38"/>
      <c r="W81" s="38"/>
      <c r="X81" s="38"/>
      <c r="Y81" s="38"/>
      <c r="Z81" s="38"/>
      <c r="AA81" s="38"/>
      <c r="AB81" s="38"/>
    </row>
    <row r="82" spans="20:28" x14ac:dyDescent="0.3">
      <c r="T82" s="52" t="s">
        <v>385</v>
      </c>
      <c r="U82" s="52">
        <f>TTHH!K12</f>
        <v>11044.1</v>
      </c>
      <c r="V82" s="52">
        <f>TTHH!K14</f>
        <v>11.85</v>
      </c>
      <c r="W82" s="56">
        <f>U82*V82</f>
        <v>130872.58500000001</v>
      </c>
      <c r="X82" s="52">
        <f>TTHH!K13</f>
        <v>84.08</v>
      </c>
      <c r="Y82" s="56">
        <f>X82*U82</f>
        <v>928587.92799999996</v>
      </c>
      <c r="Z82" s="52">
        <v>0</v>
      </c>
      <c r="AA82" s="56">
        <f>U82*Z82</f>
        <v>0</v>
      </c>
      <c r="AB82" s="18"/>
    </row>
    <row r="83" spans="20:28" x14ac:dyDescent="0.3">
      <c r="T83" s="52" t="s">
        <v>461</v>
      </c>
      <c r="U83" s="56" cm="1">
        <f t="array" ref="U83:AA83">_xlfn.ANCHORARRAY('Condición Día D'!U83)</f>
        <v>21</v>
      </c>
      <c r="V83" s="56">
        <v>16.428571428571427</v>
      </c>
      <c r="W83" s="56">
        <v>345</v>
      </c>
      <c r="X83" s="56">
        <v>65.714285714285708</v>
      </c>
      <c r="Y83" s="56">
        <v>1380</v>
      </c>
      <c r="Z83" s="56">
        <v>7.1428571428571432</v>
      </c>
      <c r="AA83" s="56">
        <v>150</v>
      </c>
      <c r="AB83" s="18"/>
    </row>
    <row r="84" spans="20:28" x14ac:dyDescent="0.3">
      <c r="T84" s="38"/>
      <c r="U84" s="52" t="s">
        <v>3</v>
      </c>
      <c r="V84" s="52" t="s">
        <v>17</v>
      </c>
      <c r="W84" s="52" t="s">
        <v>382</v>
      </c>
      <c r="X84" s="52" t="s">
        <v>15</v>
      </c>
      <c r="Y84" s="52" t="s">
        <v>383</v>
      </c>
      <c r="Z84" s="52" t="s">
        <v>16</v>
      </c>
      <c r="AA84" s="52" t="s">
        <v>384</v>
      </c>
      <c r="AB84" s="52" t="s">
        <v>4</v>
      </c>
    </row>
    <row r="85" spans="20:28" x14ac:dyDescent="0.3">
      <c r="T85" s="54" t="s">
        <v>386</v>
      </c>
      <c r="U85" s="56">
        <f ca="1">SUM(U11:U83)</f>
        <v>52467.717599240743</v>
      </c>
      <c r="V85" s="56">
        <f ca="1">IFERROR(W85/U85,0)</f>
        <v>10.115496340057817</v>
      </c>
      <c r="W85" s="56">
        <f ca="1">SUM(W11:W83)</f>
        <v>530737.00534630683</v>
      </c>
      <c r="X85" s="56">
        <f ca="1">IFERROR(Y85/U85,0)</f>
        <v>98.837342314669769</v>
      </c>
      <c r="Y85" s="56">
        <f ca="1">SUM(Y11:Y83)</f>
        <v>5185769.7648255806</v>
      </c>
      <c r="Z85" s="56">
        <f ca="1">IFERROR(AA85/U85,0)</f>
        <v>2.9747087679007508E-2</v>
      </c>
      <c r="AA85" s="56">
        <f ca="1">SUM(AA11:AA83)</f>
        <v>1560.7617957420198</v>
      </c>
      <c r="AB85" s="56">
        <f>SUM(AB17:AB83)</f>
        <v>1198.0740000000001</v>
      </c>
    </row>
  </sheetData>
  <conditionalFormatting sqref="F54:G56">
    <cfRule type="expression" dxfId="107" priority="2">
      <formula>$O$10="Ocultar"</formula>
    </cfRule>
  </conditionalFormatting>
  <conditionalFormatting sqref="F42:I52">
    <cfRule type="expression" dxfId="106" priority="5">
      <formula>$O$10="Ocultar"</formula>
    </cfRule>
  </conditionalFormatting>
  <conditionalFormatting sqref="F36:P40">
    <cfRule type="expression" dxfId="105" priority="11">
      <formula>$O$10="Ocultar"</formula>
    </cfRule>
  </conditionalFormatting>
  <conditionalFormatting sqref="L12:M18">
    <cfRule type="expression" dxfId="104" priority="12">
      <formula>$O$10="Ocultar"</formula>
    </cfRule>
  </conditionalFormatting>
  <conditionalFormatting sqref="O12:P15">
    <cfRule type="expression" dxfId="103" priority="47">
      <formula>$O$10="Ocultar"</formula>
    </cfRule>
  </conditionalFormatting>
  <conditionalFormatting sqref="AE23:AF32">
    <cfRule type="expression" dxfId="102" priority="31">
      <formula>$N$6="Ocultar"</formula>
    </cfRule>
  </conditionalFormatting>
  <conditionalFormatting sqref="AE35:AF39">
    <cfRule type="expression" dxfId="101" priority="30">
      <formula>$N$6="Ocultar"</formula>
    </cfRule>
  </conditionalFormatting>
  <conditionalFormatting sqref="AE42:AF52">
    <cfRule type="expression" dxfId="100" priority="29">
      <formula>$N$6="Ocultar"</formula>
    </cfRule>
  </conditionalFormatting>
  <conditionalFormatting sqref="AE55:AF58">
    <cfRule type="expression" dxfId="99" priority="28">
      <formula>$N$6="Ocultar"</formula>
    </cfRule>
  </conditionalFormatting>
  <conditionalFormatting sqref="AE61:AF66">
    <cfRule type="expression" dxfId="98" priority="27">
      <formula>$N$6="Ocultar"</formula>
    </cfRule>
  </conditionalFormatting>
  <conditionalFormatting sqref="AE69:AF71">
    <cfRule type="expression" dxfId="97" priority="26">
      <formula>$N$6="Ocultar"</formula>
    </cfRule>
  </conditionalFormatting>
  <conditionalFormatting sqref="AE23:AH71">
    <cfRule type="expression" dxfId="96" priority="1">
      <formula>$O$10="Ocultar"</formula>
    </cfRule>
  </conditionalFormatting>
  <conditionalFormatting sqref="AG23:AH23">
    <cfRule type="expression" dxfId="95" priority="25">
      <formula>$N$6="Ocultar"</formula>
    </cfRule>
  </conditionalFormatting>
  <conditionalFormatting sqref="AG35:AH35">
    <cfRule type="expression" dxfId="94" priority="23">
      <formula>$N$6="Ocultar"</formula>
    </cfRule>
  </conditionalFormatting>
  <conditionalFormatting sqref="AG42:AH42">
    <cfRule type="expression" dxfId="93" priority="21">
      <formula>$N$6="Ocultar"</formula>
    </cfRule>
  </conditionalFormatting>
  <conditionalFormatting sqref="AG55:AH55">
    <cfRule type="expression" dxfId="92" priority="19">
      <formula>$N$6="Ocultar"</formula>
    </cfRule>
  </conditionalFormatting>
  <conditionalFormatting sqref="AG61:AH61">
    <cfRule type="expression" dxfId="91" priority="17">
      <formula>$N$6="Ocultar"</formula>
    </cfRule>
  </conditionalFormatting>
  <conditionalFormatting sqref="AG69:AH69">
    <cfRule type="expression" dxfId="90" priority="15">
      <formula>$N$6="Ocultar"</formula>
    </cfRule>
  </conditionalFormatting>
  <conditionalFormatting sqref="AH24:AH32">
    <cfRule type="expression" dxfId="89" priority="24">
      <formula>$N$6="Ocultar"</formula>
    </cfRule>
  </conditionalFormatting>
  <conditionalFormatting sqref="AH36:AH39">
    <cfRule type="expression" dxfId="88" priority="22">
      <formula>$N$6="Ocultar"</formula>
    </cfRule>
  </conditionalFormatting>
  <conditionalFormatting sqref="AH43:AH52">
    <cfRule type="expression" dxfId="87" priority="20">
      <formula>$N$6="Ocultar"</formula>
    </cfRule>
  </conditionalFormatting>
  <conditionalFormatting sqref="AH56:AH58">
    <cfRule type="expression" dxfId="86" priority="18">
      <formula>$N$6="Ocultar"</formula>
    </cfRule>
  </conditionalFormatting>
  <conditionalFormatting sqref="AH62:AH66">
    <cfRule type="expression" dxfId="85" priority="16">
      <formula>$N$6="Ocultar"</formula>
    </cfRule>
  </conditionalFormatting>
  <conditionalFormatting sqref="AH70:AH71">
    <cfRule type="expression" dxfId="84" priority="14">
      <formula>$N$6="Ocultar"</formula>
    </cfRule>
  </conditionalFormatting>
  <dataValidations count="1">
    <dataValidation type="list" allowBlank="1" showInputMessage="1" showErrorMessage="1" sqref="O10" xr:uid="{3CD387DC-2F96-4E00-8AF8-1FAF910BAC88}">
      <formula1>"Ver Cuentas, Ocultar"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0F23-AF48-4D41-8307-8BABC706747E}">
  <sheetPr>
    <tabColor rgb="FFE2007D"/>
  </sheetPr>
  <dimension ref="E8:CV152"/>
  <sheetViews>
    <sheetView topLeftCell="CP7" zoomScaleNormal="100" workbookViewId="0">
      <selection activeCell="CZ18" sqref="CZ18"/>
    </sheetView>
    <sheetView topLeftCell="BQ21" workbookViewId="1">
      <selection activeCell="BT37" sqref="BT37:CA37"/>
    </sheetView>
  </sheetViews>
  <sheetFormatPr baseColWidth="10" defaultRowHeight="14.4" x14ac:dyDescent="0.3"/>
  <cols>
    <col min="1" max="4" width="11.5546875" style="8"/>
    <col min="5" max="5" width="13.33203125" style="8" customWidth="1"/>
    <col min="6" max="8" width="11.5546875" style="8" customWidth="1"/>
    <col min="9" max="9" width="12.5546875" style="8" customWidth="1"/>
    <col min="10" max="11" width="11.5546875" style="8" customWidth="1"/>
    <col min="12" max="23" width="11.5546875" style="8"/>
    <col min="24" max="24" width="11.5546875" style="8" customWidth="1"/>
    <col min="25" max="16384" width="11.5546875" style="8"/>
  </cols>
  <sheetData>
    <row r="8" spans="5:100" x14ac:dyDescent="0.3">
      <c r="E8" s="54" t="s">
        <v>582</v>
      </c>
      <c r="J8" s="57" t="s">
        <v>581</v>
      </c>
      <c r="L8" s="54" t="s">
        <v>586</v>
      </c>
      <c r="M8" s="54"/>
      <c r="X8" s="54" t="s">
        <v>601</v>
      </c>
      <c r="AE8" s="54" t="s">
        <v>602</v>
      </c>
      <c r="AF8" s="54"/>
      <c r="AQ8" s="54" t="s">
        <v>615</v>
      </c>
      <c r="AX8" s="54" t="s">
        <v>616</v>
      </c>
      <c r="AY8" s="54"/>
      <c r="BJ8" s="54" t="s">
        <v>633</v>
      </c>
      <c r="BS8" s="54" t="s">
        <v>634</v>
      </c>
      <c r="BT8" s="54"/>
      <c r="BU8" s="54"/>
      <c r="CE8" s="54" t="s">
        <v>635</v>
      </c>
      <c r="CF8" s="54"/>
      <c r="CG8" s="54"/>
    </row>
    <row r="10" spans="5:100" x14ac:dyDescent="0.3">
      <c r="E10" s="54" t="s">
        <v>11</v>
      </c>
      <c r="F10" s="52" t="s">
        <v>583</v>
      </c>
      <c r="H10" s="54" t="s">
        <v>46</v>
      </c>
      <c r="I10" s="52" t="s">
        <v>583</v>
      </c>
      <c r="L10" s="54" t="s">
        <v>587</v>
      </c>
      <c r="M10" s="56">
        <f ca="1">M112</f>
        <v>60197.345260000002</v>
      </c>
      <c r="O10" s="52" t="s">
        <v>595</v>
      </c>
      <c r="P10" s="56">
        <f ca="1">IFERROR(DEGREES(ATAN(R112)/M16),0)</f>
        <v>-13.205760563652905</v>
      </c>
      <c r="X10" s="54" t="s">
        <v>11</v>
      </c>
      <c r="Y10" s="52" t="s">
        <v>603</v>
      </c>
      <c r="AA10" s="54" t="s">
        <v>46</v>
      </c>
      <c r="AB10" s="52" t="s">
        <v>603</v>
      </c>
      <c r="AE10" s="54" t="s">
        <v>604</v>
      </c>
      <c r="AF10" s="56">
        <f ca="1">AF112</f>
        <v>62763.637760000005</v>
      </c>
      <c r="AH10" s="52" t="s">
        <v>612</v>
      </c>
      <c r="AI10" s="56">
        <f ca="1">IFERROR(DEGREES(ATAN(AK112)/AF16),0)</f>
        <v>-10.421747979032105</v>
      </c>
      <c r="AQ10" s="54" t="s">
        <v>11</v>
      </c>
      <c r="AR10" s="52" t="s">
        <v>603</v>
      </c>
      <c r="AT10" s="54" t="s">
        <v>46</v>
      </c>
      <c r="AU10" s="52" t="s">
        <v>603</v>
      </c>
      <c r="AX10" s="54" t="s">
        <v>617</v>
      </c>
      <c r="AY10" s="56">
        <f ca="1">AY112</f>
        <v>66504.375260000001</v>
      </c>
      <c r="BA10" s="52" t="s">
        <v>625</v>
      </c>
      <c r="BB10" s="56">
        <f ca="1">IFERROR(DEGREES(ATAN(BD112)/AY16),0)</f>
        <v>-2.7809163569712814</v>
      </c>
      <c r="BJ10" s="54" t="s">
        <v>11</v>
      </c>
      <c r="BK10" s="52" t="s">
        <v>603</v>
      </c>
      <c r="BS10" s="54" t="s">
        <v>636</v>
      </c>
      <c r="BT10" s="56">
        <f ca="1">BT112</f>
        <v>60197.410259999997</v>
      </c>
      <c r="BX10" s="52" t="s">
        <v>600</v>
      </c>
      <c r="BY10" s="52" t="s">
        <v>643</v>
      </c>
      <c r="BZ10" s="52" t="s">
        <v>598</v>
      </c>
      <c r="CE10" s="54" t="s">
        <v>645</v>
      </c>
      <c r="CF10" s="56">
        <f ca="1">CF112</f>
        <v>60197.345259999987</v>
      </c>
      <c r="CH10" s="52" t="s">
        <v>651</v>
      </c>
      <c r="CI10" s="56">
        <f ca="1">IFERROR(DEGREES(ATAN(CK112)/CF16),0)</f>
        <v>-12.909585042967228</v>
      </c>
    </row>
    <row r="11" spans="5:100" x14ac:dyDescent="0.3">
      <c r="E11" s="52" t="s">
        <v>6</v>
      </c>
      <c r="F11" s="62" cm="1">
        <f t="array" aca="1" ref="F11:F15" ca="1">'Condición Día D'!$U$11:$U$15</f>
        <v>10453.033452397769</v>
      </c>
      <c r="H11" s="52" t="s">
        <v>47</v>
      </c>
      <c r="I11" s="62" cm="1">
        <f t="array" ref="I11:I19">_xlfn.ANCHORARRAY('Condición Día D'!U43)</f>
        <v>0</v>
      </c>
      <c r="L11" s="52" t="s">
        <v>588</v>
      </c>
      <c r="M11" s="56">
        <f ca="1">N112</f>
        <v>9.581869256417102</v>
      </c>
      <c r="O11" s="54" t="s">
        <v>380</v>
      </c>
      <c r="X11" s="52" t="s">
        <v>6</v>
      </c>
      <c r="Y11" s="62" cm="1">
        <f t="array" aca="1" ref="Y11:Y15" ca="1">_xlfn.ANCHORARRAY(F11)</f>
        <v>10453.033452397769</v>
      </c>
      <c r="AA11" s="52" t="s">
        <v>47</v>
      </c>
      <c r="AB11" s="62" cm="1">
        <f t="array" ref="AB11:AB19">_xlfn.ANCHORARRAY(I11)</f>
        <v>0</v>
      </c>
      <c r="AE11" s="52" t="s">
        <v>605</v>
      </c>
      <c r="AF11" s="56">
        <f ca="1">AG112</f>
        <v>9.2404569228034443</v>
      </c>
      <c r="AH11" s="54" t="s">
        <v>380</v>
      </c>
      <c r="AQ11" s="52" t="s">
        <v>6</v>
      </c>
      <c r="AR11" s="62" cm="1">
        <f t="array" aca="1" ref="AR11:AR15" ca="1">_xlfn.ANCHORARRAY(Y11)</f>
        <v>10453.033452397769</v>
      </c>
      <c r="AT11" s="52" t="s">
        <v>47</v>
      </c>
      <c r="AU11" s="62" cm="1">
        <f t="array" ref="AU11:AU19">_xlfn.ANCHORARRAY(AB11)</f>
        <v>0</v>
      </c>
      <c r="AX11" s="52" t="s">
        <v>618</v>
      </c>
      <c r="AY11" s="56">
        <f ca="1">AZ112</f>
        <v>9.3095314356272283</v>
      </c>
      <c r="BA11" s="54" t="s">
        <v>380</v>
      </c>
      <c r="BJ11" s="52" t="s">
        <v>6</v>
      </c>
      <c r="BK11" s="62" cm="1">
        <f t="array" aca="1" ref="BK11:BK15" ca="1">_xlfn.ANCHORARRAY(AR11)</f>
        <v>10453.033452397769</v>
      </c>
      <c r="BS11" s="52" t="s">
        <v>637</v>
      </c>
      <c r="BT11" s="56">
        <f ca="1">BU112</f>
        <v>9.5793517278249727</v>
      </c>
      <c r="BW11" s="52" t="s">
        <v>542</v>
      </c>
      <c r="BX11" s="56" cm="1">
        <f t="array" aca="1" ref="BX11:BX15" ca="1">_xlfn.ANCHORARRAY(BE13)</f>
        <v>0.98424418493625487</v>
      </c>
      <c r="BY11" s="56" cm="1">
        <f t="array" aca="1" ref="BY11:BY15" ca="1">BT24:BT28</f>
        <v>1.0094027101239453</v>
      </c>
      <c r="BZ11" s="56">
        <f ca="1">BY11-BX11</f>
        <v>2.5158525187690461E-2</v>
      </c>
      <c r="CE11" s="52" t="s">
        <v>646</v>
      </c>
      <c r="CF11" s="56">
        <f ca="1">CG112</f>
        <v>9.5768301421722839</v>
      </c>
      <c r="CH11" s="54" t="s">
        <v>380</v>
      </c>
    </row>
    <row r="12" spans="5:100" x14ac:dyDescent="0.3">
      <c r="E12" s="52" t="s">
        <v>7</v>
      </c>
      <c r="F12" s="62">
        <f ca="1"/>
        <v>6666.7965382446964</v>
      </c>
      <c r="H12" s="52" t="s">
        <v>48</v>
      </c>
      <c r="I12" s="62">
        <v>0</v>
      </c>
      <c r="L12" s="52" t="s">
        <v>589</v>
      </c>
      <c r="M12" s="56">
        <f ca="1">M11+F71</f>
        <v>9.5944611738301724</v>
      </c>
      <c r="O12" s="52" t="s">
        <v>374</v>
      </c>
      <c r="P12" s="56">
        <f ca="1">F112</f>
        <v>12.404875049321728</v>
      </c>
      <c r="S12" s="52" t="s">
        <v>599</v>
      </c>
      <c r="T12" s="52" t="s">
        <v>600</v>
      </c>
      <c r="U12" s="52" t="s">
        <v>598</v>
      </c>
      <c r="X12" s="52" t="s">
        <v>7</v>
      </c>
      <c r="Y12" s="62">
        <f ca="1"/>
        <v>6666.7965382446964</v>
      </c>
      <c r="AA12" s="52" t="s">
        <v>48</v>
      </c>
      <c r="AB12" s="62">
        <v>0</v>
      </c>
      <c r="AE12" s="52" t="s">
        <v>606</v>
      </c>
      <c r="AF12" s="56">
        <f ca="1">AF11+Y71</f>
        <v>9.2525339793134336</v>
      </c>
      <c r="AH12" s="52" t="s">
        <v>374</v>
      </c>
      <c r="AI12" s="56">
        <f ca="1">Y112</f>
        <v>13.023381312852152</v>
      </c>
      <c r="AL12" s="52" t="s">
        <v>600</v>
      </c>
      <c r="AM12" s="52" t="s">
        <v>613</v>
      </c>
      <c r="AN12" s="52" t="s">
        <v>598</v>
      </c>
      <c r="AQ12" s="52" t="s">
        <v>7</v>
      </c>
      <c r="AR12" s="62">
        <f ca="1"/>
        <v>6666.7965382446964</v>
      </c>
      <c r="AT12" s="52" t="s">
        <v>48</v>
      </c>
      <c r="AU12" s="62">
        <v>0</v>
      </c>
      <c r="AX12" s="52" t="s">
        <v>619</v>
      </c>
      <c r="AY12" s="56">
        <f ca="1">AY11+AR71</f>
        <v>9.3209291819715343</v>
      </c>
      <c r="BA12" s="52" t="s">
        <v>374</v>
      </c>
      <c r="BB12" s="56">
        <f ca="1">AR112</f>
        <v>13.012162857001982</v>
      </c>
      <c r="BE12" s="52" t="s">
        <v>600</v>
      </c>
      <c r="BF12" s="52" t="s">
        <v>626</v>
      </c>
      <c r="BG12" s="52" t="s">
        <v>598</v>
      </c>
      <c r="BJ12" s="52" t="s">
        <v>7</v>
      </c>
      <c r="BK12" s="62">
        <f ca="1"/>
        <v>6666.7965382446964</v>
      </c>
      <c r="BS12" s="52" t="s">
        <v>652</v>
      </c>
      <c r="BT12" s="56">
        <f ca="1">BT11+BK98</f>
        <v>9.5935716086521179</v>
      </c>
      <c r="BW12" s="52" t="s">
        <v>543</v>
      </c>
      <c r="BX12" s="56">
        <f ca="1"/>
        <v>50</v>
      </c>
      <c r="BY12" s="56">
        <f ca="1"/>
        <v>50</v>
      </c>
      <c r="BZ12" s="56">
        <f ca="1">BY12-BX12</f>
        <v>0</v>
      </c>
      <c r="CE12" s="52" t="s">
        <v>653</v>
      </c>
      <c r="CF12" s="56">
        <f ca="1">CF11+CQ102</f>
        <v>9.589023370907368</v>
      </c>
      <c r="CH12" s="52" t="s">
        <v>374</v>
      </c>
      <c r="CI12" s="56">
        <f ca="1">CQ120</f>
        <v>12.407000579014216</v>
      </c>
      <c r="CL12" s="52" t="s">
        <v>600</v>
      </c>
      <c r="CM12" s="52" t="s">
        <v>644</v>
      </c>
      <c r="CN12" s="52" t="s">
        <v>598</v>
      </c>
      <c r="CQ12" s="52" t="s">
        <v>613</v>
      </c>
      <c r="CR12" s="52" t="s">
        <v>644</v>
      </c>
      <c r="CS12" s="52" t="s">
        <v>626</v>
      </c>
    </row>
    <row r="13" spans="5:100" x14ac:dyDescent="0.3">
      <c r="E13" s="52" t="s">
        <v>8</v>
      </c>
      <c r="F13" s="62">
        <f ca="1"/>
        <v>11226.447776454837</v>
      </c>
      <c r="H13" s="52" t="s">
        <v>49</v>
      </c>
      <c r="I13" s="62">
        <v>144.57799999999997</v>
      </c>
      <c r="L13" s="52" t="s">
        <v>590</v>
      </c>
      <c r="M13" s="56">
        <f ca="1">P112</f>
        <v>98.672985745434417</v>
      </c>
      <c r="O13" s="52" t="s">
        <v>375</v>
      </c>
      <c r="P13" s="56">
        <f ca="1">H112</f>
        <v>11.196269762910664</v>
      </c>
      <c r="R13" s="52" t="s">
        <v>542</v>
      </c>
      <c r="S13" s="56" cm="1">
        <f t="array" aca="1" ref="S13:S17" ca="1">'Condición Día D'!G24:G28</f>
        <v>2.2575226756642355</v>
      </c>
      <c r="T13" s="56" cm="1">
        <f t="array" aca="1" ref="T13:T17" ca="1">M24:M28</f>
        <v>0.98424418493625487</v>
      </c>
      <c r="U13" s="56">
        <f ca="1">T13-S13</f>
        <v>-1.2732784907279806</v>
      </c>
      <c r="X13" s="52" t="s">
        <v>8</v>
      </c>
      <c r="Y13" s="62">
        <f ca="1"/>
        <v>11226.447776454837</v>
      </c>
      <c r="AA13" s="52" t="s">
        <v>49</v>
      </c>
      <c r="AB13" s="62">
        <v>144.57799999999997</v>
      </c>
      <c r="AE13" s="52" t="s">
        <v>607</v>
      </c>
      <c r="AF13" s="56">
        <f ca="1">AI112</f>
        <v>98.71928999392297</v>
      </c>
      <c r="AH13" s="52" t="s">
        <v>375</v>
      </c>
      <c r="AI13" s="56">
        <f ca="1">AA112</f>
        <v>11.490894763925843</v>
      </c>
      <c r="AK13" s="52" t="s">
        <v>542</v>
      </c>
      <c r="AL13" s="56" cm="1">
        <f t="array" aca="1" ref="AL13:AL17" ca="1">_xlfn.ANCHORARRAY(T13)</f>
        <v>0.98424418493625487</v>
      </c>
      <c r="AM13" s="56" cm="1">
        <f t="array" aca="1" ref="AM13:AM17" ca="1">AF24:AF28</f>
        <v>1.3406155703890086</v>
      </c>
      <c r="AN13" s="56">
        <f ca="1">AM13-AL13</f>
        <v>0.35637138545275371</v>
      </c>
      <c r="AQ13" s="52" t="s">
        <v>8</v>
      </c>
      <c r="AR13" s="62">
        <f ca="1"/>
        <v>11226.447776454837</v>
      </c>
      <c r="AT13" s="52" t="s">
        <v>49</v>
      </c>
      <c r="AU13" s="62">
        <v>144.57799999999997</v>
      </c>
      <c r="AX13" s="52" t="s">
        <v>620</v>
      </c>
      <c r="AY13" s="56">
        <f ca="1">BB112</f>
        <v>96.623323952084505</v>
      </c>
      <c r="BA13" s="52" t="s">
        <v>375</v>
      </c>
      <c r="BB13" s="56">
        <f ca="1">AT112</f>
        <v>12.779393934154271</v>
      </c>
      <c r="BD13" s="52" t="s">
        <v>542</v>
      </c>
      <c r="BE13" s="56" cm="1">
        <f t="array" aca="1" ref="BE13:BE17" ca="1">$M$24:$M$28</f>
        <v>0.98424418493625487</v>
      </c>
      <c r="BF13" s="56" cm="1">
        <f t="array" aca="1" ref="BF13:BF17" ca="1">AY24:AY28</f>
        <v>1.8762904767736799</v>
      </c>
      <c r="BG13" s="56">
        <f ca="1">BF13-BE13</f>
        <v>0.89204629183742501</v>
      </c>
      <c r="BJ13" s="52" t="s">
        <v>8</v>
      </c>
      <c r="BK13" s="62">
        <f ca="1"/>
        <v>11226.447776454837</v>
      </c>
      <c r="BS13" s="52" t="s">
        <v>638</v>
      </c>
      <c r="BT13" s="56">
        <f ca="1">BW112</f>
        <v>98.675614483701466</v>
      </c>
      <c r="BW13" s="52" t="s">
        <v>544</v>
      </c>
      <c r="BX13" s="56">
        <f ca="1"/>
        <v>-0.12376848217036145</v>
      </c>
      <c r="BY13" s="56">
        <f ca="1"/>
        <v>-0.11020181432229793</v>
      </c>
      <c r="BZ13" s="56">
        <f ca="1">BY13-BX13</f>
        <v>1.3566667848063513E-2</v>
      </c>
      <c r="CE13" s="52" t="s">
        <v>647</v>
      </c>
      <c r="CF13" s="56">
        <f ca="1">CI112</f>
        <v>98.678426475396606</v>
      </c>
      <c r="CH13" s="52" t="s">
        <v>375</v>
      </c>
      <c r="CI13" s="56">
        <f ca="1">CS120</f>
        <v>11.194224367448459</v>
      </c>
      <c r="CK13" s="52" t="s">
        <v>542</v>
      </c>
      <c r="CL13" s="56" cm="1">
        <f t="array" aca="1" ref="CL13:CL17" ca="1">$M$24:$M$28</f>
        <v>0.98424418493625487</v>
      </c>
      <c r="CM13" s="56" cm="1">
        <f t="array" aca="1" ref="CM13:CM17" ca="1">CF24:CF28</f>
        <v>1.0363983705069142</v>
      </c>
      <c r="CN13" s="56">
        <f ca="1">CM13-CL13</f>
        <v>5.2154185570659317E-2</v>
      </c>
      <c r="CP13" s="52" t="s">
        <v>542</v>
      </c>
      <c r="CQ13" s="56" cm="1">
        <f t="array" aca="1" ref="CQ13:CQ17" ca="1">_xlfn.ANCHORARRAY(AM13)</f>
        <v>1.3406155703890086</v>
      </c>
      <c r="CR13" s="56" cm="1">
        <f t="array" aca="1" ref="CR13:CR17" ca="1">_xlfn.ANCHORARRAY(CM13)</f>
        <v>1.0363983705069142</v>
      </c>
      <c r="CS13" s="56" cm="1">
        <f t="array" aca="1" ref="CS13:CS17" ca="1">_xlfn.ANCHORARRAY(BF13)</f>
        <v>1.8762904767736799</v>
      </c>
      <c r="CU13" s="67"/>
      <c r="CV13" s="52" t="s">
        <v>656</v>
      </c>
    </row>
    <row r="14" spans="5:100" x14ac:dyDescent="0.3">
      <c r="E14" s="52" t="s">
        <v>9</v>
      </c>
      <c r="F14" s="62">
        <f ca="1"/>
        <v>971.62247758777448</v>
      </c>
      <c r="H14" s="52" t="s">
        <v>50</v>
      </c>
      <c r="I14" s="62">
        <v>450.48999999999995</v>
      </c>
      <c r="L14" s="52" t="s">
        <v>591</v>
      </c>
      <c r="M14" s="56">
        <f ca="1">R112</f>
        <v>-1.3896190926975112</v>
      </c>
      <c r="O14" s="52" t="s">
        <v>376</v>
      </c>
      <c r="P14" s="56">
        <f ca="1">J112</f>
        <v>11.788962193661973</v>
      </c>
      <c r="R14" s="52" t="s">
        <v>543</v>
      </c>
      <c r="S14" s="56">
        <f ca="1"/>
        <v>50</v>
      </c>
      <c r="T14" s="56">
        <f ca="1"/>
        <v>50</v>
      </c>
      <c r="U14" s="56">
        <f ca="1">T14-S14</f>
        <v>0</v>
      </c>
      <c r="X14" s="52" t="s">
        <v>9</v>
      </c>
      <c r="Y14" s="62">
        <f ca="1"/>
        <v>971.62247758777448</v>
      </c>
      <c r="AA14" s="52" t="s">
        <v>50</v>
      </c>
      <c r="AB14" s="62">
        <v>450.48999999999995</v>
      </c>
      <c r="AE14" s="52" t="s">
        <v>608</v>
      </c>
      <c r="AF14" s="56">
        <f ca="1">AK112</f>
        <v>-1.0438164292438874</v>
      </c>
      <c r="AH14" s="52" t="s">
        <v>376</v>
      </c>
      <c r="AI14" s="56">
        <f ca="1">AC112</f>
        <v>12.239274563922944</v>
      </c>
      <c r="AK14" s="52" t="s">
        <v>543</v>
      </c>
      <c r="AL14" s="56">
        <f ca="1"/>
        <v>50</v>
      </c>
      <c r="AM14" s="56">
        <f ca="1"/>
        <v>50</v>
      </c>
      <c r="AN14" s="56">
        <f ca="1">AM14-AL14</f>
        <v>0</v>
      </c>
      <c r="AQ14" s="52" t="s">
        <v>9</v>
      </c>
      <c r="AR14" s="62">
        <f ca="1"/>
        <v>971.62247758777448</v>
      </c>
      <c r="AT14" s="52" t="s">
        <v>50</v>
      </c>
      <c r="AU14" s="62">
        <v>450.48999999999995</v>
      </c>
      <c r="AX14" s="52" t="s">
        <v>621</v>
      </c>
      <c r="AY14" s="56">
        <f ca="1">BD112</f>
        <v>-0.21529474146660835</v>
      </c>
      <c r="BA14" s="52" t="s">
        <v>376</v>
      </c>
      <c r="BB14" s="56">
        <f ca="1">AV112</f>
        <v>12.892448651567946</v>
      </c>
      <c r="BD14" s="52" t="s">
        <v>543</v>
      </c>
      <c r="BE14" s="56">
        <f ca="1"/>
        <v>50</v>
      </c>
      <c r="BF14" s="56">
        <f ca="1"/>
        <v>50</v>
      </c>
      <c r="BG14" s="56">
        <f ca="1">BF14-BE14</f>
        <v>0</v>
      </c>
      <c r="BJ14" s="52" t="s">
        <v>9</v>
      </c>
      <c r="BK14" s="62">
        <f ca="1"/>
        <v>971.62247758777448</v>
      </c>
      <c r="BS14" s="52" t="s">
        <v>639</v>
      </c>
      <c r="BT14" s="56">
        <f ca="1">BY112</f>
        <v>-1.3610785530327565</v>
      </c>
      <c r="BW14" s="52" t="s">
        <v>545</v>
      </c>
      <c r="BX14" s="56">
        <f ca="1"/>
        <v>0.16160316864437926</v>
      </c>
      <c r="BY14" s="56">
        <f ca="1"/>
        <v>0.16518300406303385</v>
      </c>
      <c r="BZ14" s="56">
        <f ca="1">BY14-BX14</f>
        <v>3.5798354186545867E-3</v>
      </c>
      <c r="CE14" s="52" t="s">
        <v>648</v>
      </c>
      <c r="CF14" s="56">
        <f ca="1">CK112</f>
        <v>-1.3325361435216228</v>
      </c>
      <c r="CH14" s="52" t="s">
        <v>376</v>
      </c>
      <c r="CI14" s="56">
        <f ca="1">CU120</f>
        <v>11.78896219366197</v>
      </c>
      <c r="CK14" s="52" t="s">
        <v>543</v>
      </c>
      <c r="CL14" s="56">
        <f ca="1"/>
        <v>50</v>
      </c>
      <c r="CM14" s="56">
        <f ca="1"/>
        <v>50</v>
      </c>
      <c r="CN14" s="56">
        <f ca="1">CM14-CL14</f>
        <v>0</v>
      </c>
      <c r="CP14" s="52" t="s">
        <v>543</v>
      </c>
      <c r="CQ14" s="56">
        <f ca="1"/>
        <v>50</v>
      </c>
      <c r="CR14" s="56">
        <f ca="1"/>
        <v>50</v>
      </c>
      <c r="CS14" s="56">
        <f ca="1"/>
        <v>50</v>
      </c>
      <c r="CU14" s="68"/>
      <c r="CV14" s="52" t="s">
        <v>613</v>
      </c>
    </row>
    <row r="15" spans="5:100" x14ac:dyDescent="0.3">
      <c r="E15" s="52" t="s">
        <v>10</v>
      </c>
      <c r="F15" s="62">
        <f ca="1"/>
        <v>11154.218715314913</v>
      </c>
      <c r="H15" s="52" t="s">
        <v>51</v>
      </c>
      <c r="I15" s="62">
        <v>42.94</v>
      </c>
      <c r="L15" s="52" t="s">
        <v>370</v>
      </c>
      <c r="M15" s="56">
        <f ca="1">F71</f>
        <v>1.2591917413070319E-2</v>
      </c>
      <c r="O15" s="54" t="s">
        <v>381</v>
      </c>
      <c r="P15" s="41"/>
      <c r="R15" s="52" t="s">
        <v>544</v>
      </c>
      <c r="S15" s="56">
        <f ca="1"/>
        <v>0.5032716524349149</v>
      </c>
      <c r="T15" s="56">
        <f ca="1"/>
        <v>-0.12376848217036145</v>
      </c>
      <c r="U15" s="56">
        <f ca="1">T15-S15</f>
        <v>-0.6270401346052763</v>
      </c>
      <c r="X15" s="52" t="s">
        <v>10</v>
      </c>
      <c r="Y15" s="62">
        <f ca="1"/>
        <v>11154.218715314913</v>
      </c>
      <c r="AA15" s="52" t="s">
        <v>51</v>
      </c>
      <c r="AB15" s="62">
        <v>42.94</v>
      </c>
      <c r="AE15" s="52" t="s">
        <v>370</v>
      </c>
      <c r="AF15" s="56">
        <f ca="1">Y71</f>
        <v>1.2077056509989009E-2</v>
      </c>
      <c r="AH15" s="54" t="s">
        <v>381</v>
      </c>
      <c r="AI15" s="41"/>
      <c r="AK15" s="52" t="s">
        <v>544</v>
      </c>
      <c r="AL15" s="56">
        <f ca="1"/>
        <v>-0.12376848217036145</v>
      </c>
      <c r="AM15" s="56">
        <f ca="1"/>
        <v>6.5746853640119479E-2</v>
      </c>
      <c r="AN15" s="56">
        <f ca="1">AM15-AL15</f>
        <v>0.18951533581048091</v>
      </c>
      <c r="AQ15" s="52" t="s">
        <v>10</v>
      </c>
      <c r="AR15" s="62">
        <f ca="1"/>
        <v>11154.218715314913</v>
      </c>
      <c r="AT15" s="52" t="s">
        <v>51</v>
      </c>
      <c r="AU15" s="62">
        <v>42.94</v>
      </c>
      <c r="AX15" s="52" t="s">
        <v>370</v>
      </c>
      <c r="AY15" s="56">
        <f ca="1">AR71</f>
        <v>1.1397746344305709E-2</v>
      </c>
      <c r="BA15" s="54" t="s">
        <v>381</v>
      </c>
      <c r="BB15" s="41"/>
      <c r="BD15" s="52" t="s">
        <v>544</v>
      </c>
      <c r="BE15" s="56">
        <f ca="1"/>
        <v>-0.12376848217036145</v>
      </c>
      <c r="BF15" s="56">
        <f ca="1"/>
        <v>0.42762368272356749</v>
      </c>
      <c r="BG15" s="56">
        <f ca="1">BF15-BE15</f>
        <v>0.55139216489392895</v>
      </c>
      <c r="BJ15" s="52" t="s">
        <v>10</v>
      </c>
      <c r="BK15" s="62">
        <f ca="1"/>
        <v>11154.218715314913</v>
      </c>
      <c r="BS15" s="52" t="s">
        <v>370</v>
      </c>
      <c r="BT15" s="56">
        <f ca="1">BK98</f>
        <v>1.4219880827145736E-2</v>
      </c>
      <c r="BW15" s="52" t="s">
        <v>546</v>
      </c>
      <c r="BX15" s="56">
        <f ca="1"/>
        <v>-7.6687324664658427E-2</v>
      </c>
      <c r="BY15" s="56">
        <f ca="1"/>
        <v>-6.2468148727757307E-2</v>
      </c>
      <c r="BZ15" s="56">
        <f ca="1">BY15-BX15</f>
        <v>1.421917593690112E-2</v>
      </c>
      <c r="CE15" s="52" t="s">
        <v>370</v>
      </c>
      <c r="CF15" s="56">
        <f ca="1">CQ102</f>
        <v>1.2193228735083926E-2</v>
      </c>
      <c r="CH15" s="54" t="s">
        <v>381</v>
      </c>
      <c r="CI15" s="41"/>
      <c r="CK15" s="52" t="s">
        <v>544</v>
      </c>
      <c r="CL15" s="56">
        <f ca="1"/>
        <v>-0.12376848217036145</v>
      </c>
      <c r="CM15" s="56">
        <f ca="1"/>
        <v>-9.6185199492632545E-2</v>
      </c>
      <c r="CN15" s="56">
        <f ca="1">CM15-CL15</f>
        <v>2.7583282677728901E-2</v>
      </c>
      <c r="CP15" s="52" t="s">
        <v>544</v>
      </c>
      <c r="CQ15" s="56">
        <f ca="1"/>
        <v>6.5746853640119479E-2</v>
      </c>
      <c r="CR15" s="56">
        <f ca="1"/>
        <v>-9.6185199492632545E-2</v>
      </c>
      <c r="CS15" s="56">
        <f ca="1"/>
        <v>0.42762368272356749</v>
      </c>
      <c r="CU15" s="69"/>
      <c r="CV15" s="52" t="s">
        <v>644</v>
      </c>
    </row>
    <row r="16" spans="5:100" x14ac:dyDescent="0.3">
      <c r="H16" s="52" t="s">
        <v>52</v>
      </c>
      <c r="I16" s="62">
        <v>0</v>
      </c>
      <c r="L16" s="52" t="s">
        <v>592</v>
      </c>
      <c r="M16" s="26">
        <f ca="1">IFERROR(F74-F71,0)</f>
        <v>4.1088426068036288</v>
      </c>
      <c r="O16" s="52" t="s">
        <v>377</v>
      </c>
      <c r="P16" s="56">
        <f ca="1">F111</f>
        <v>12.388513438418595</v>
      </c>
      <c r="R16" s="52" t="s">
        <v>545</v>
      </c>
      <c r="S16" s="56">
        <f ca="1"/>
        <v>0.34061239081600164</v>
      </c>
      <c r="T16" s="56">
        <f ca="1"/>
        <v>0.16160316864437926</v>
      </c>
      <c r="U16" s="56">
        <f ca="1">T16-S16</f>
        <v>-0.17900922217162238</v>
      </c>
      <c r="AA16" s="52" t="s">
        <v>52</v>
      </c>
      <c r="AB16" s="62">
        <v>0</v>
      </c>
      <c r="AE16" s="52" t="s">
        <v>609</v>
      </c>
      <c r="AF16" s="26">
        <f ca="1">IFERROR(Y74-Y71,0)</f>
        <v>4.4357385642942706</v>
      </c>
      <c r="AH16" s="52" t="s">
        <v>377</v>
      </c>
      <c r="AI16" s="56">
        <f ca="1">Y111</f>
        <v>13.00853067381037</v>
      </c>
      <c r="AK16" s="52" t="s">
        <v>545</v>
      </c>
      <c r="AL16" s="56">
        <f ca="1"/>
        <v>0.16160316864437926</v>
      </c>
      <c r="AM16" s="56">
        <f ca="1"/>
        <v>0.21304894396647117</v>
      </c>
      <c r="AN16" s="56">
        <f ca="1">AM16-AL16</f>
        <v>5.1445775322091908E-2</v>
      </c>
      <c r="AT16" s="52" t="s">
        <v>52</v>
      </c>
      <c r="AU16" s="62">
        <v>0</v>
      </c>
      <c r="AX16" s="52" t="s">
        <v>622</v>
      </c>
      <c r="AY16" s="26">
        <f ca="1">IFERROR(AR74-AR71,0)</f>
        <v>4.3690708180284652</v>
      </c>
      <c r="BA16" s="52" t="s">
        <v>377</v>
      </c>
      <c r="BB16" s="56">
        <f ca="1">AR111</f>
        <v>12.991248771296277</v>
      </c>
      <c r="BD16" s="52" t="s">
        <v>545</v>
      </c>
      <c r="BE16" s="56">
        <f ca="1"/>
        <v>0.16160316864437926</v>
      </c>
      <c r="BF16" s="56">
        <f ca="1"/>
        <v>0.28642629545953413</v>
      </c>
      <c r="BG16" s="56">
        <f ca="1">BF16-BE16</f>
        <v>0.12482312681515487</v>
      </c>
      <c r="BS16" s="52" t="s">
        <v>654</v>
      </c>
      <c r="BT16" s="26">
        <f ca="1">IFERROR(BK101-BK98,0)</f>
        <v>4.1097310276154859</v>
      </c>
      <c r="CE16" s="52" t="s">
        <v>655</v>
      </c>
      <c r="CF16" s="26">
        <f ca="1">IFERROR(CQ105-CQ102,0)</f>
        <v>4.1142804097264332</v>
      </c>
      <c r="CH16" s="52" t="s">
        <v>377</v>
      </c>
      <c r="CI16" s="56">
        <f ca="1">CQ119</f>
        <v>12.390658426323935</v>
      </c>
      <c r="CK16" s="52" t="s">
        <v>545</v>
      </c>
      <c r="CL16" s="56">
        <f ca="1"/>
        <v>0.16160316864437926</v>
      </c>
      <c r="CM16" s="56">
        <f ca="1"/>
        <v>0.16904525753857616</v>
      </c>
      <c r="CN16" s="56">
        <f ca="1">CM16-CL16</f>
        <v>7.4420888941968966E-3</v>
      </c>
      <c r="CP16" s="52" t="s">
        <v>545</v>
      </c>
      <c r="CQ16" s="56">
        <f ca="1"/>
        <v>0.21304894396647117</v>
      </c>
      <c r="CR16" s="56">
        <f ca="1"/>
        <v>0.16904525753857616</v>
      </c>
      <c r="CS16" s="56">
        <f ca="1"/>
        <v>0.28642629545953413</v>
      </c>
      <c r="CU16" s="70"/>
      <c r="CV16" s="52" t="s">
        <v>626</v>
      </c>
    </row>
    <row r="17" spans="5:97" x14ac:dyDescent="0.3">
      <c r="H17" s="52" t="s">
        <v>53</v>
      </c>
      <c r="I17" s="62">
        <v>42.94</v>
      </c>
      <c r="L17" s="52" t="s">
        <v>593</v>
      </c>
      <c r="M17" s="34">
        <f ca="1">F76</f>
        <v>7.5254170216361294</v>
      </c>
      <c r="O17" s="52" t="s">
        <v>378</v>
      </c>
      <c r="P17" s="56">
        <f ca="1">H111</f>
        <v>11.172943083123165</v>
      </c>
      <c r="R17" s="52" t="s">
        <v>546</v>
      </c>
      <c r="S17" s="56">
        <f ca="1"/>
        <v>0.58120935239157656</v>
      </c>
      <c r="T17" s="56">
        <f ca="1"/>
        <v>-7.6687324664658427E-2</v>
      </c>
      <c r="U17" s="56">
        <f ca="1">T17-S17</f>
        <v>-0.657896677056235</v>
      </c>
      <c r="AA17" s="52" t="s">
        <v>53</v>
      </c>
      <c r="AB17" s="62">
        <v>42.94</v>
      </c>
      <c r="AE17" s="52" t="s">
        <v>610</v>
      </c>
      <c r="AF17" s="34">
        <f ca="1">Y76</f>
        <v>6.6938897218301321</v>
      </c>
      <c r="AH17" s="52" t="s">
        <v>378</v>
      </c>
      <c r="AI17" s="56">
        <f ca="1">AA111</f>
        <v>11.467212561347438</v>
      </c>
      <c r="AK17" s="52" t="s">
        <v>546</v>
      </c>
      <c r="AL17" s="56">
        <f ca="1"/>
        <v>-7.6687324664658427E-2</v>
      </c>
      <c r="AM17" s="56">
        <f ca="1"/>
        <v>0.12280809289415054</v>
      </c>
      <c r="AN17" s="56">
        <f ca="1">AM17-AL17</f>
        <v>0.19949541755880895</v>
      </c>
      <c r="AT17" s="52" t="s">
        <v>53</v>
      </c>
      <c r="AU17" s="62">
        <v>42.94</v>
      </c>
      <c r="AX17" s="52" t="s">
        <v>623</v>
      </c>
      <c r="AY17" s="34">
        <f ca="1">AR76</f>
        <v>6.4161550723567338</v>
      </c>
      <c r="BA17" s="52" t="s">
        <v>378</v>
      </c>
      <c r="BB17" s="56">
        <f ca="1">AT111</f>
        <v>12.757138424908554</v>
      </c>
      <c r="BD17" s="52" t="s">
        <v>546</v>
      </c>
      <c r="BE17" s="56">
        <f ca="1"/>
        <v>-7.6687324664658427E-2</v>
      </c>
      <c r="BF17" s="56">
        <f ca="1"/>
        <v>0.49573366789229301</v>
      </c>
      <c r="BG17" s="56">
        <f ca="1">BF17-BE17</f>
        <v>0.57242099255695145</v>
      </c>
      <c r="BS17" s="52" t="s">
        <v>640</v>
      </c>
      <c r="BT17" s="34">
        <f ca="1">BK103</f>
        <v>7.5238008231757716</v>
      </c>
      <c r="CE17" s="52" t="s">
        <v>649</v>
      </c>
      <c r="CF17" s="34">
        <f ca="1">CQ107</f>
        <v>7.5155845261662826</v>
      </c>
      <c r="CH17" s="52" t="s">
        <v>378</v>
      </c>
      <c r="CI17" s="56">
        <f ca="1">CS119</f>
        <v>11.170893109257937</v>
      </c>
      <c r="CK17" s="52" t="s">
        <v>546</v>
      </c>
      <c r="CL17" s="56">
        <f ca="1"/>
        <v>-7.6687324664658427E-2</v>
      </c>
      <c r="CM17" s="56">
        <f ca="1"/>
        <v>-4.7730368138779823E-2</v>
      </c>
      <c r="CN17" s="56">
        <f ca="1">CM17-CL17</f>
        <v>2.8956956525878604E-2</v>
      </c>
      <c r="CP17" s="52" t="s">
        <v>546</v>
      </c>
      <c r="CQ17" s="56">
        <f ca="1"/>
        <v>0.12280809289415054</v>
      </c>
      <c r="CR17" s="56">
        <f ca="1"/>
        <v>-4.7730368138779823E-2</v>
      </c>
      <c r="CS17" s="56">
        <f ca="1"/>
        <v>0.49573366789229301</v>
      </c>
    </row>
    <row r="18" spans="5:97" x14ac:dyDescent="0.3">
      <c r="E18" s="54" t="s">
        <v>57</v>
      </c>
      <c r="F18" s="52" t="s">
        <v>583</v>
      </c>
      <c r="H18" s="52" t="s">
        <v>54</v>
      </c>
      <c r="I18" s="62">
        <v>8.5879999999999992</v>
      </c>
      <c r="L18" s="52" t="s">
        <v>594</v>
      </c>
      <c r="M18" s="27">
        <f ca="1">I74</f>
        <v>0.33562259167924957</v>
      </c>
      <c r="O18" s="52" t="s">
        <v>379</v>
      </c>
      <c r="P18" s="56">
        <f ca="1">P14-0.022</f>
        <v>11.766962193661973</v>
      </c>
      <c r="X18" s="54" t="s">
        <v>57</v>
      </c>
      <c r="Y18" s="52" t="s">
        <v>603</v>
      </c>
      <c r="AA18" s="52" t="s">
        <v>54</v>
      </c>
      <c r="AB18" s="62">
        <v>8.5879999999999992</v>
      </c>
      <c r="AE18" s="52" t="s">
        <v>611</v>
      </c>
      <c r="AF18" s="27">
        <f ca="1">AB74</f>
        <v>0.44909620928922245</v>
      </c>
      <c r="AH18" s="52" t="s">
        <v>379</v>
      </c>
      <c r="AI18" s="56">
        <f ca="1">AI14-0.022</f>
        <v>12.217274563922944</v>
      </c>
      <c r="AQ18" s="54" t="s">
        <v>57</v>
      </c>
      <c r="AR18" s="52" t="s">
        <v>603</v>
      </c>
      <c r="AT18" s="52" t="s">
        <v>54</v>
      </c>
      <c r="AU18" s="62">
        <v>8.5879999999999992</v>
      </c>
      <c r="AX18" s="52" t="s">
        <v>624</v>
      </c>
      <c r="AY18" s="27">
        <f ca="1">AU74</f>
        <v>0.57102457254366235</v>
      </c>
      <c r="BA18" s="52" t="s">
        <v>379</v>
      </c>
      <c r="BB18" s="56">
        <f ca="1">BB14-0.022</f>
        <v>12.870448651567946</v>
      </c>
      <c r="BJ18" s="54" t="s">
        <v>57</v>
      </c>
      <c r="BK18" s="52" t="s">
        <v>603</v>
      </c>
      <c r="BL18" s="52" t="s">
        <v>628</v>
      </c>
      <c r="BM18" s="52" t="s">
        <v>631</v>
      </c>
      <c r="BN18" s="52" t="s">
        <v>629</v>
      </c>
      <c r="BO18" s="52" t="s">
        <v>630</v>
      </c>
      <c r="BP18" s="52" t="s">
        <v>632</v>
      </c>
      <c r="BS18" s="52" t="s">
        <v>641</v>
      </c>
      <c r="BT18" s="27">
        <f ca="1">BN101</f>
        <v>0.3419967226610291</v>
      </c>
      <c r="CE18" s="52" t="s">
        <v>650</v>
      </c>
      <c r="CF18" s="27">
        <f ca="1">CT105</f>
        <v>0.34911110744934643</v>
      </c>
      <c r="CH18" s="52" t="s">
        <v>379</v>
      </c>
      <c r="CI18" s="56">
        <f ca="1">CI14-0.022</f>
        <v>11.766962193661969</v>
      </c>
    </row>
    <row r="19" spans="5:97" x14ac:dyDescent="0.3">
      <c r="E19" s="52" t="s">
        <v>58</v>
      </c>
      <c r="F19" s="62" cm="1">
        <f t="array" ref="F19:F22">_xlfn.ANCHORARRAY('Condición Día D'!U53)</f>
        <v>141.52500000000001</v>
      </c>
      <c r="H19" s="52" t="s">
        <v>55</v>
      </c>
      <c r="I19" s="62">
        <v>4.3890000000000002</v>
      </c>
      <c r="X19" s="52" t="s">
        <v>58</v>
      </c>
      <c r="Y19" s="62" cm="1">
        <f t="array" ref="Y19:Y22">_xlfn.ANCHORARRAY(F19)</f>
        <v>141.52500000000001</v>
      </c>
      <c r="AA19" s="52" t="s">
        <v>55</v>
      </c>
      <c r="AB19" s="62">
        <v>4.3890000000000002</v>
      </c>
      <c r="AQ19" s="52" t="s">
        <v>58</v>
      </c>
      <c r="AR19" s="62" cm="1">
        <f t="array" ref="AR19:AR22">_xlfn.ANCHORARRAY(Y19)</f>
        <v>141.52500000000001</v>
      </c>
      <c r="AT19" s="52" t="s">
        <v>55</v>
      </c>
      <c r="AU19" s="62">
        <v>4.3890000000000002</v>
      </c>
      <c r="BJ19" s="52" t="s">
        <v>58</v>
      </c>
      <c r="BK19" s="62" cm="1">
        <f t="array" ref="BK19:BK22">_xlfn.ANCHORARRAY(AR19)</f>
        <v>141.52500000000001</v>
      </c>
      <c r="BL19" s="62">
        <f>('Carga y Reparto'!P29/TTHH!C69)*100</f>
        <v>100</v>
      </c>
      <c r="BM19" s="66"/>
      <c r="BN19" s="56">
        <f>BK19+BM19</f>
        <v>141.52500000000001</v>
      </c>
      <c r="BO19" s="56">
        <f>BN19/'Carga y Reparto'!Q29</f>
        <v>166.5</v>
      </c>
      <c r="BP19" s="52">
        <f>TTHH!C69</f>
        <v>166.5</v>
      </c>
    </row>
    <row r="20" spans="5:97" x14ac:dyDescent="0.3">
      <c r="E20" s="52" t="s">
        <v>59</v>
      </c>
      <c r="F20" s="62">
        <v>3.4864999999999995</v>
      </c>
      <c r="X20" s="52" t="s">
        <v>59</v>
      </c>
      <c r="Y20" s="62">
        <v>3.4864999999999995</v>
      </c>
      <c r="AQ20" s="52" t="s">
        <v>59</v>
      </c>
      <c r="AR20" s="62">
        <v>3.4864999999999995</v>
      </c>
      <c r="BJ20" s="52" t="s">
        <v>59</v>
      </c>
      <c r="BK20" s="62">
        <v>3.4864999999999995</v>
      </c>
      <c r="BL20" s="62">
        <f>('Carga y Reparto'!P30/TTHH!C70)*100</f>
        <v>64.999999999999986</v>
      </c>
      <c r="BM20" s="66"/>
      <c r="BN20" s="56">
        <f>BK20+BM20</f>
        <v>3.4864999999999995</v>
      </c>
      <c r="BO20" s="56">
        <f>BN20/'Carga y Reparto'!Q30</f>
        <v>4.1017647058823528</v>
      </c>
      <c r="BP20" s="52">
        <f>TTHH!C70</f>
        <v>22.6</v>
      </c>
      <c r="BS20" s="52" t="s">
        <v>642</v>
      </c>
      <c r="BT20" s="56">
        <f ca="1">IFERROR(DEGREES(ATAN(BY112)/BT16),0)</f>
        <v>-13.065295166009694</v>
      </c>
    </row>
    <row r="21" spans="5:97" x14ac:dyDescent="0.3">
      <c r="E21" s="52" t="s">
        <v>60</v>
      </c>
      <c r="F21" s="62">
        <v>7.6620000000000026</v>
      </c>
      <c r="X21" s="52" t="s">
        <v>60</v>
      </c>
      <c r="Y21" s="62">
        <v>7.6620000000000026</v>
      </c>
      <c r="AQ21" s="52" t="s">
        <v>60</v>
      </c>
      <c r="AR21" s="62">
        <v>7.6620000000000026</v>
      </c>
      <c r="BJ21" s="52" t="s">
        <v>60</v>
      </c>
      <c r="BK21" s="62">
        <v>7.6620000000000026</v>
      </c>
      <c r="BL21" s="62">
        <f>('Carga y Reparto'!P31/TTHH!C71)*100</f>
        <v>100</v>
      </c>
      <c r="BM21" s="66"/>
      <c r="BN21" s="56">
        <f>BK21+BM21</f>
        <v>7.6620000000000026</v>
      </c>
      <c r="BO21" s="56">
        <f>BN21/'Carga y Reparto'!Q31</f>
        <v>8.8068965517241402</v>
      </c>
      <c r="BP21" s="52">
        <f>TTHH!C71</f>
        <v>22.6</v>
      </c>
    </row>
    <row r="22" spans="5:97" x14ac:dyDescent="0.3">
      <c r="E22" s="52" t="s">
        <v>61</v>
      </c>
      <c r="F22" s="62">
        <v>3.4578000000000002</v>
      </c>
      <c r="H22" s="54" t="s">
        <v>84</v>
      </c>
      <c r="I22" s="52" t="s">
        <v>583</v>
      </c>
      <c r="X22" s="52" t="s">
        <v>61</v>
      </c>
      <c r="Y22" s="62">
        <v>3.4578000000000002</v>
      </c>
      <c r="AA22" s="54" t="s">
        <v>84</v>
      </c>
      <c r="AB22" s="52" t="s">
        <v>603</v>
      </c>
      <c r="AQ22" s="52" t="s">
        <v>61</v>
      </c>
      <c r="AR22" s="62">
        <v>3.4578000000000002</v>
      </c>
      <c r="AT22" s="54" t="s">
        <v>84</v>
      </c>
      <c r="AU22" s="52" t="s">
        <v>603</v>
      </c>
      <c r="BJ22" s="52" t="s">
        <v>61</v>
      </c>
      <c r="BK22" s="62">
        <v>3.4578000000000002</v>
      </c>
      <c r="BL22" s="62">
        <f>('Carga y Reparto'!P32/TTHH!C72)*100</f>
        <v>18.000000000000004</v>
      </c>
      <c r="BM22" s="66"/>
      <c r="BN22" s="56">
        <f>BK22+BM22</f>
        <v>3.4578000000000002</v>
      </c>
      <c r="BO22" s="56">
        <f>BN22/'Carga y Reparto'!Q32</f>
        <v>4.0680000000000005</v>
      </c>
      <c r="BP22" s="52">
        <f>TTHH!C72</f>
        <v>22.6</v>
      </c>
    </row>
    <row r="23" spans="5:97" x14ac:dyDescent="0.3">
      <c r="H23" s="52" t="s">
        <v>85</v>
      </c>
      <c r="I23" s="62" cm="1">
        <f t="array" ref="I23:I27">_xlfn.ANCHORARRAY('Condición Día D'!U76)</f>
        <v>0</v>
      </c>
      <c r="AA23" s="52" t="s">
        <v>85</v>
      </c>
      <c r="AB23" s="62" cm="1">
        <f t="array" ref="AB23:AB27">_xlfn.ANCHORARRAY(I23)</f>
        <v>0</v>
      </c>
      <c r="AT23" s="52" t="s">
        <v>85</v>
      </c>
      <c r="AU23" s="62" cm="1">
        <f t="array" ref="AU23:AU27">_xlfn.ANCHORARRAY(AB23)</f>
        <v>0</v>
      </c>
    </row>
    <row r="24" spans="5:97" x14ac:dyDescent="0.3">
      <c r="H24" s="52" t="s">
        <v>86</v>
      </c>
      <c r="I24" s="62">
        <v>0</v>
      </c>
      <c r="L24" s="52" t="s">
        <v>542</v>
      </c>
      <c r="M24" s="56">
        <f ca="1">IFERROR(K131,0)</f>
        <v>0.98424418493625487</v>
      </c>
      <c r="AA24" s="52" t="s">
        <v>86</v>
      </c>
      <c r="AB24" s="62">
        <v>0</v>
      </c>
      <c r="AE24" s="52" t="s">
        <v>542</v>
      </c>
      <c r="AF24" s="56">
        <f ca="1">IFERROR(AD131,0)</f>
        <v>1.3406155703890086</v>
      </c>
      <c r="AT24" s="52" t="s">
        <v>86</v>
      </c>
      <c r="AU24" s="62">
        <v>0</v>
      </c>
      <c r="AX24" s="52" t="s">
        <v>542</v>
      </c>
      <c r="AY24" s="56">
        <f ca="1">IFERROR(AW131,0)</f>
        <v>1.8762904767736799</v>
      </c>
      <c r="BS24" s="52" t="s">
        <v>542</v>
      </c>
      <c r="BT24" s="56">
        <f ca="1">IFERROR(BP133,0)</f>
        <v>1.0094027101239453</v>
      </c>
      <c r="CE24" s="52" t="s">
        <v>542</v>
      </c>
      <c r="CF24" s="56">
        <f ca="1">CK136</f>
        <v>1.0363983705069142</v>
      </c>
    </row>
    <row r="25" spans="5:97" x14ac:dyDescent="0.3">
      <c r="E25" s="54" t="s">
        <v>75</v>
      </c>
      <c r="F25" s="52" t="s">
        <v>583</v>
      </c>
      <c r="H25" s="52" t="s">
        <v>87</v>
      </c>
      <c r="I25" s="62">
        <v>0</v>
      </c>
      <c r="L25" s="52" t="s">
        <v>543</v>
      </c>
      <c r="M25" s="56" cm="1">
        <f t="array" aca="1" ref="M25" ca="1">IFERROR(INDEX(F127:O127,,MATCH(MAX(F131:O131),F131:O131,0)),0)</f>
        <v>50</v>
      </c>
      <c r="X25" s="54" t="s">
        <v>75</v>
      </c>
      <c r="Y25" s="52" t="s">
        <v>603</v>
      </c>
      <c r="AA25" s="52" t="s">
        <v>87</v>
      </c>
      <c r="AB25" s="62">
        <v>0</v>
      </c>
      <c r="AE25" s="52" t="s">
        <v>543</v>
      </c>
      <c r="AF25" s="56" cm="1">
        <f t="array" aca="1" ref="AF25" ca="1">IFERROR(INDEX(Y127:AH127,,MATCH(MAX(Y131:AH131),Y131:AH131,0)),0)</f>
        <v>50</v>
      </c>
      <c r="AQ25" s="54" t="s">
        <v>75</v>
      </c>
      <c r="AR25" s="52" t="s">
        <v>603</v>
      </c>
      <c r="AT25" s="52" t="s">
        <v>87</v>
      </c>
      <c r="AU25" s="62">
        <v>0</v>
      </c>
      <c r="AX25" s="52" t="s">
        <v>543</v>
      </c>
      <c r="AY25" s="56" cm="1">
        <f t="array" aca="1" ref="AY25" ca="1">IFERROR(INDEX(AR127:BA127,,MATCH(MAX(AR131:BA131),AR131:BA131,0)),0)</f>
        <v>50</v>
      </c>
      <c r="BJ25" s="54" t="s">
        <v>75</v>
      </c>
      <c r="BK25" s="52" t="s">
        <v>603</v>
      </c>
      <c r="BL25" s="52" t="s">
        <v>628</v>
      </c>
      <c r="BM25" s="52" t="s">
        <v>631</v>
      </c>
      <c r="BN25" s="52" t="s">
        <v>629</v>
      </c>
      <c r="BO25" s="52" t="s">
        <v>630</v>
      </c>
      <c r="BP25" s="52" t="s">
        <v>632</v>
      </c>
      <c r="BS25" s="52" t="s">
        <v>543</v>
      </c>
      <c r="BT25" s="56" cm="1">
        <f t="array" aca="1" ref="BT25" ca="1">IFERROR(INDEX(BK129:BT129,,MATCH(MAX(BK133:BT133),BK133:BT133,0)),0)</f>
        <v>50</v>
      </c>
      <c r="CE25" s="52" t="s">
        <v>543</v>
      </c>
      <c r="CF25" s="56" cm="1">
        <f t="array" aca="1" ref="CF25" ca="1">IFERROR(INDEX(CF132:CO132,,MATCH(MAX(CF136:CO136),CF136:CO136,0)),0)</f>
        <v>50</v>
      </c>
    </row>
    <row r="26" spans="5:97" x14ac:dyDescent="0.3">
      <c r="E26" s="52" t="s">
        <v>76</v>
      </c>
      <c r="F26" s="62" cm="1">
        <f t="array" ref="F26:F27">_xlfn.ANCHORARRAY('Condición Día D'!U69)</f>
        <v>105.5</v>
      </c>
      <c r="H26" s="52" t="s">
        <v>88</v>
      </c>
      <c r="I26" s="62">
        <v>0</v>
      </c>
      <c r="L26" s="52" t="s">
        <v>544</v>
      </c>
      <c r="M26" s="56" cm="1">
        <f t="array" aca="1" ref="M26:M28" ca="1">IFERROR(F145:F147,0)</f>
        <v>-0.12376848217036145</v>
      </c>
      <c r="X26" s="52" t="s">
        <v>76</v>
      </c>
      <c r="Y26" s="62" cm="1">
        <f t="array" ref="Y26:Y27">_xlfn.ANCHORARRAY(F26)</f>
        <v>105.5</v>
      </c>
      <c r="AA26" s="52" t="s">
        <v>88</v>
      </c>
      <c r="AB26" s="62">
        <v>0</v>
      </c>
      <c r="AE26" s="52" t="s">
        <v>544</v>
      </c>
      <c r="AF26" s="56" cm="1">
        <f t="array" aca="1" ref="AF26:AF28" ca="1">IFERROR(Y145:Y147,0)</f>
        <v>6.5746853640119479E-2</v>
      </c>
      <c r="AQ26" s="52" t="s">
        <v>76</v>
      </c>
      <c r="AR26" s="62" cm="1">
        <f t="array" ref="AR26:AR27">_xlfn.ANCHORARRAY(Y26)</f>
        <v>105.5</v>
      </c>
      <c r="AT26" s="52" t="s">
        <v>88</v>
      </c>
      <c r="AU26" s="62">
        <v>0</v>
      </c>
      <c r="AX26" s="52" t="s">
        <v>544</v>
      </c>
      <c r="AY26" s="56" cm="1">
        <f t="array" aca="1" ref="AY26:AY28" ca="1">IFERROR(AR145:AR147,0)</f>
        <v>0.42762368272356749</v>
      </c>
      <c r="BJ26" s="52" t="s">
        <v>76</v>
      </c>
      <c r="BK26" s="62" cm="1">
        <f t="array" ref="BK26:BK27">_xlfn.ANCHORARRAY(AR26)</f>
        <v>105.5</v>
      </c>
      <c r="BL26" s="62">
        <f>('Carga y Reparto'!P76/TTHH!C97)*100</f>
        <v>100</v>
      </c>
      <c r="BM26" s="66">
        <v>-105.5</v>
      </c>
      <c r="BN26" s="56">
        <f>BK26+BM26</f>
        <v>0</v>
      </c>
      <c r="BO26" s="56">
        <f>IFERROR(BN26/'Carga y Reparto'!Q76,0)</f>
        <v>0</v>
      </c>
      <c r="BP26" s="52">
        <f>TTHH!C97</f>
        <v>119.5</v>
      </c>
      <c r="BS26" s="52" t="s">
        <v>544</v>
      </c>
      <c r="BT26" s="56" cm="1">
        <f t="array" aca="1" ref="BT26:BT28" ca="1">BK147:BK149</f>
        <v>-0.11020181432229793</v>
      </c>
      <c r="CE26" s="52" t="s">
        <v>544</v>
      </c>
      <c r="CF26" s="56" cm="1">
        <f t="array" aca="1" ref="CF26:CF28" ca="1">CF150:CF152</f>
        <v>-9.6185199492632545E-2</v>
      </c>
    </row>
    <row r="27" spans="5:97" x14ac:dyDescent="0.3">
      <c r="E27" s="52" t="s">
        <v>77</v>
      </c>
      <c r="F27" s="62">
        <v>0</v>
      </c>
      <c r="H27" s="52" t="s">
        <v>89</v>
      </c>
      <c r="I27" s="62">
        <v>0</v>
      </c>
      <c r="L27" s="52" t="s">
        <v>545</v>
      </c>
      <c r="M27" s="56">
        <f ca="1"/>
        <v>0.16160316864437926</v>
      </c>
      <c r="X27" s="52" t="s">
        <v>77</v>
      </c>
      <c r="Y27" s="62">
        <v>0</v>
      </c>
      <c r="AA27" s="52" t="s">
        <v>89</v>
      </c>
      <c r="AB27" s="62">
        <v>0</v>
      </c>
      <c r="AE27" s="52" t="s">
        <v>545</v>
      </c>
      <c r="AF27" s="56">
        <f ca="1"/>
        <v>0.21304894396647117</v>
      </c>
      <c r="AQ27" s="52" t="s">
        <v>77</v>
      </c>
      <c r="AR27" s="62">
        <v>0</v>
      </c>
      <c r="AT27" s="52" t="s">
        <v>89</v>
      </c>
      <c r="AU27" s="62">
        <v>0</v>
      </c>
      <c r="AX27" s="52" t="s">
        <v>545</v>
      </c>
      <c r="AY27" s="56">
        <f ca="1"/>
        <v>0.28642629545953413</v>
      </c>
      <c r="BJ27" s="52" t="s">
        <v>77</v>
      </c>
      <c r="BK27" s="62">
        <v>0</v>
      </c>
      <c r="BL27" s="62">
        <f>('Carga y Reparto'!P77/TTHH!C98)*100</f>
        <v>0</v>
      </c>
      <c r="BM27" s="66">
        <v>105.5</v>
      </c>
      <c r="BN27" s="56">
        <f>BK27+BM27</f>
        <v>105.5</v>
      </c>
      <c r="BO27" s="56">
        <f>IFERROR(BN27/'Carga y Reparto'!Q77,0)</f>
        <v>105.5</v>
      </c>
      <c r="BP27" s="52">
        <f>TTHH!C98</f>
        <v>119.5</v>
      </c>
      <c r="BS27" s="52" t="s">
        <v>545</v>
      </c>
      <c r="BT27" s="56">
        <f ca="1"/>
        <v>0.16518300406303385</v>
      </c>
      <c r="CE27" s="52" t="s">
        <v>545</v>
      </c>
      <c r="CF27" s="56">
        <f ca="1"/>
        <v>0.16904525753857616</v>
      </c>
    </row>
    <row r="28" spans="5:97" x14ac:dyDescent="0.3">
      <c r="L28" s="52" t="s">
        <v>546</v>
      </c>
      <c r="M28" s="56">
        <f ca="1"/>
        <v>-7.6687324664658427E-2</v>
      </c>
      <c r="AE28" s="52" t="s">
        <v>546</v>
      </c>
      <c r="AF28" s="56">
        <f ca="1"/>
        <v>0.12280809289415054</v>
      </c>
      <c r="AX28" s="52" t="s">
        <v>546</v>
      </c>
      <c r="AY28" s="56">
        <f ca="1"/>
        <v>0.49573366789229301</v>
      </c>
      <c r="BS28" s="52" t="s">
        <v>546</v>
      </c>
      <c r="BT28" s="56">
        <f ca="1"/>
        <v>-6.2468148727757307E-2</v>
      </c>
      <c r="CE28" s="52" t="s">
        <v>546</v>
      </c>
      <c r="CF28" s="56">
        <f ca="1"/>
        <v>-4.7730368138779823E-2</v>
      </c>
    </row>
    <row r="30" spans="5:97" x14ac:dyDescent="0.3">
      <c r="E30" s="54" t="s">
        <v>19</v>
      </c>
      <c r="F30" s="52" t="s">
        <v>583</v>
      </c>
      <c r="G30" s="52" t="s">
        <v>352</v>
      </c>
      <c r="H30" s="52" t="s">
        <v>585</v>
      </c>
      <c r="I30" s="52" t="s">
        <v>584</v>
      </c>
      <c r="J30" s="29" t="s">
        <v>596</v>
      </c>
      <c r="X30" s="54" t="s">
        <v>19</v>
      </c>
      <c r="Y30" s="52" t="s">
        <v>603</v>
      </c>
      <c r="Z30" s="52" t="s">
        <v>352</v>
      </c>
      <c r="AA30" s="52" t="s">
        <v>585</v>
      </c>
      <c r="AB30" s="52" t="s">
        <v>614</v>
      </c>
      <c r="AC30" s="29" t="s">
        <v>596</v>
      </c>
      <c r="AQ30" s="54" t="s">
        <v>19</v>
      </c>
      <c r="AR30" s="52" t="s">
        <v>603</v>
      </c>
      <c r="AS30" s="52" t="s">
        <v>352</v>
      </c>
      <c r="AT30" s="52" t="s">
        <v>585</v>
      </c>
      <c r="AU30" s="52" t="s">
        <v>627</v>
      </c>
      <c r="AV30" s="29" t="s">
        <v>596</v>
      </c>
      <c r="BJ30" s="54" t="s">
        <v>46</v>
      </c>
      <c r="BK30" s="52" t="s">
        <v>603</v>
      </c>
      <c r="BL30" s="52" t="s">
        <v>628</v>
      </c>
      <c r="BM30" s="52" t="s">
        <v>631</v>
      </c>
      <c r="BN30" s="52" t="s">
        <v>629</v>
      </c>
      <c r="BO30" s="52" t="s">
        <v>630</v>
      </c>
      <c r="BP30" s="52" t="s">
        <v>632</v>
      </c>
    </row>
    <row r="31" spans="5:97" x14ac:dyDescent="0.3">
      <c r="E31" s="52" t="s">
        <v>20</v>
      </c>
      <c r="F31" s="62" cm="1">
        <f t="array" ref="F31:F55">_xlfn.ANCHORARRAY('Condición Día D'!U17)</f>
        <v>0</v>
      </c>
      <c r="G31" s="64">
        <f>('Carga y Reparto'!P36/TTHH!C21)</f>
        <v>0</v>
      </c>
      <c r="H31" s="65"/>
      <c r="I31" s="56">
        <f>H31*TTHH!C21*'Condición Día D'!$J$8</f>
        <v>0</v>
      </c>
      <c r="J31" s="32">
        <f>I31/'Condición Día D'!$J$8</f>
        <v>0</v>
      </c>
      <c r="X31" s="52" t="s">
        <v>20</v>
      </c>
      <c r="Y31" s="62" cm="1">
        <f t="array" ref="Y31:Y55">I31:I55</f>
        <v>0</v>
      </c>
      <c r="Z31" s="64">
        <f>(J31/TTHH!$C21)</f>
        <v>0</v>
      </c>
      <c r="AA31" s="65"/>
      <c r="AB31" s="56">
        <f>AA31*TTHH!$C21*'Condición Día D'!$J$8</f>
        <v>0</v>
      </c>
      <c r="AC31" s="32">
        <f>AB31/'Condición Día D'!$J$8</f>
        <v>0</v>
      </c>
      <c r="AO31" s="65"/>
      <c r="AQ31" s="52" t="s">
        <v>20</v>
      </c>
      <c r="AR31" s="62" cm="1">
        <f t="array" ref="AR31:AR55">_xlfn.ANCHORARRAY(Y31)</f>
        <v>0</v>
      </c>
      <c r="AS31" s="64">
        <f>(AV31/TTHH!$C21)</f>
        <v>0</v>
      </c>
      <c r="AT31" s="65"/>
      <c r="AU31" s="56">
        <f>AT31*TTHH!$C21*'Condición Día D'!$J$8</f>
        <v>0</v>
      </c>
      <c r="AV31" s="32">
        <f>AU31/'Condición Día D'!$J$8</f>
        <v>0</v>
      </c>
      <c r="BJ31" s="52" t="s">
        <v>47</v>
      </c>
      <c r="BK31" s="62" cm="1">
        <f t="array" ref="BK31:BK39">_xlfn.ANCHORARRAY(AU11)</f>
        <v>0</v>
      </c>
      <c r="BL31" s="62">
        <f>('Carga y Reparto'!P17/TTHH!C53)*100</f>
        <v>0</v>
      </c>
      <c r="BM31" s="66"/>
      <c r="BN31" s="56">
        <f>BK31+BM31</f>
        <v>0</v>
      </c>
      <c r="BO31" s="56">
        <f>IFERROR(BN31/'Carga y Reparto'!Q17,0)</f>
        <v>0</v>
      </c>
      <c r="BP31" s="52">
        <f>TTHH!C53</f>
        <v>433.9</v>
      </c>
    </row>
    <row r="32" spans="5:97" x14ac:dyDescent="0.3">
      <c r="E32" s="52" t="s">
        <v>21</v>
      </c>
      <c r="F32" s="62">
        <v>0</v>
      </c>
      <c r="G32" s="64">
        <f>('Carga y Reparto'!P37/TTHH!C22)</f>
        <v>0</v>
      </c>
      <c r="H32" s="65">
        <v>1</v>
      </c>
      <c r="I32" s="56">
        <f>H32*TTHH!C22*'Condición Día D'!$J$8</f>
        <v>251.63749999999999</v>
      </c>
      <c r="J32" s="32">
        <f>I32/'Condición Día D'!$J$8</f>
        <v>245.5</v>
      </c>
      <c r="X32" s="52" t="s">
        <v>21</v>
      </c>
      <c r="Y32" s="62">
        <v>251.63749999999999</v>
      </c>
      <c r="Z32" s="64">
        <f>(J32/TTHH!$C22)</f>
        <v>1</v>
      </c>
      <c r="AA32" s="65">
        <v>1</v>
      </c>
      <c r="AB32" s="56">
        <f>AA32*TTHH!$C22*'Condición Día D'!$J$8</f>
        <v>251.63749999999999</v>
      </c>
      <c r="AC32" s="32">
        <f>AB32/'Condición Día D'!$J$8</f>
        <v>245.5</v>
      </c>
      <c r="AO32" s="65">
        <v>1</v>
      </c>
      <c r="AQ32" s="52" t="s">
        <v>21</v>
      </c>
      <c r="AR32" s="62">
        <v>251.63749999999999</v>
      </c>
      <c r="AS32" s="64">
        <f>(AV32/TTHH!$C22)</f>
        <v>1</v>
      </c>
      <c r="AT32" s="65">
        <v>1</v>
      </c>
      <c r="AU32" s="56">
        <f>AT32*TTHH!$C22*'Condición Día D'!$J$8</f>
        <v>251.63749999999999</v>
      </c>
      <c r="AV32" s="32">
        <f>AU32/'Condición Día D'!$J$8</f>
        <v>245.5</v>
      </c>
      <c r="BJ32" s="52" t="s">
        <v>48</v>
      </c>
      <c r="BK32" s="62">
        <v>0</v>
      </c>
      <c r="BL32" s="62">
        <f>('Carga y Reparto'!P18/TTHH!C54)*100</f>
        <v>0</v>
      </c>
      <c r="BM32" s="66"/>
      <c r="BN32" s="56">
        <f t="shared" ref="BN32:BN39" si="0">BK32+BM32</f>
        <v>0</v>
      </c>
      <c r="BO32" s="56">
        <f>IFERROR(BN32/'Carga y Reparto'!Q18,0)</f>
        <v>0</v>
      </c>
      <c r="BP32" s="52">
        <f>TTHH!C54</f>
        <v>343.4</v>
      </c>
    </row>
    <row r="33" spans="5:91" x14ac:dyDescent="0.3">
      <c r="E33" s="52" t="s">
        <v>25</v>
      </c>
      <c r="F33" s="62">
        <v>0</v>
      </c>
      <c r="G33" s="64">
        <f>('Carga y Reparto'!P38/TTHH!C23)</f>
        <v>0</v>
      </c>
      <c r="H33" s="65"/>
      <c r="I33" s="56">
        <f>H33*TTHH!C23*'Condición Día D'!$J$8</f>
        <v>0</v>
      </c>
      <c r="J33" s="32">
        <f>I33/'Condición Día D'!$J$8</f>
        <v>0</v>
      </c>
      <c r="X33" s="52" t="s">
        <v>25</v>
      </c>
      <c r="Y33" s="62">
        <v>0</v>
      </c>
      <c r="Z33" s="64">
        <f>(J33/TTHH!$C23)</f>
        <v>0</v>
      </c>
      <c r="AA33" s="65">
        <v>1</v>
      </c>
      <c r="AB33" s="56">
        <f>AA33*TTHH!$C23*'Condición Día D'!$J$8</f>
        <v>251.63749999999999</v>
      </c>
      <c r="AC33" s="32">
        <f>AB33/'Condición Día D'!$J$8</f>
        <v>245.5</v>
      </c>
      <c r="AO33" s="65"/>
      <c r="AQ33" s="52" t="s">
        <v>25</v>
      </c>
      <c r="AR33" s="62">
        <v>0</v>
      </c>
      <c r="AS33" s="64">
        <f>(AV33/TTHH!$C23)</f>
        <v>0</v>
      </c>
      <c r="AT33" s="65"/>
      <c r="AU33" s="56">
        <f>AT33*TTHH!$C23*'Condición Día D'!$J$8</f>
        <v>0</v>
      </c>
      <c r="AV33" s="32">
        <f>AU33/'Condición Día D'!$J$8</f>
        <v>0</v>
      </c>
      <c r="BJ33" s="52" t="s">
        <v>49</v>
      </c>
      <c r="BK33" s="62">
        <v>144.57799999999997</v>
      </c>
      <c r="BL33" s="62">
        <f>('Carga y Reparto'!P19/TTHH!C55)*100</f>
        <v>70</v>
      </c>
      <c r="BM33" s="66">
        <v>-109.48</v>
      </c>
      <c r="BN33" s="56">
        <f t="shared" si="0"/>
        <v>35.097999999999971</v>
      </c>
      <c r="BO33" s="56">
        <f>IFERROR(BN33/'Carga y Reparto'!Q19,0)</f>
        <v>36.945263157894708</v>
      </c>
      <c r="BP33" s="52">
        <f>TTHH!C55</f>
        <v>533.20000000000005</v>
      </c>
    </row>
    <row r="34" spans="5:91" x14ac:dyDescent="0.3">
      <c r="E34" s="52" t="s">
        <v>23</v>
      </c>
      <c r="F34" s="62">
        <v>0</v>
      </c>
      <c r="G34" s="64">
        <f>('Carga y Reparto'!P39/TTHH!C24)</f>
        <v>0</v>
      </c>
      <c r="H34" s="65">
        <v>1</v>
      </c>
      <c r="I34" s="56">
        <f>H34*TTHH!C24*'Condición Día D'!$J$8</f>
        <v>1093.5725</v>
      </c>
      <c r="J34" s="32">
        <f>I34/'Condición Día D'!$J$8</f>
        <v>1066.9000000000001</v>
      </c>
      <c r="X34" s="52" t="s">
        <v>23</v>
      </c>
      <c r="Y34" s="62">
        <v>1093.5725</v>
      </c>
      <c r="Z34" s="64">
        <f>(J34/TTHH!$C24)</f>
        <v>1</v>
      </c>
      <c r="AA34" s="65">
        <v>1</v>
      </c>
      <c r="AB34" s="56">
        <f>AA34*TTHH!$C24*'Condición Día D'!$J$8</f>
        <v>1093.5725</v>
      </c>
      <c r="AC34" s="32">
        <f>AB34/'Condición Día D'!$J$8</f>
        <v>1066.9000000000001</v>
      </c>
      <c r="AO34" s="65">
        <v>1</v>
      </c>
      <c r="AQ34" s="52" t="s">
        <v>23</v>
      </c>
      <c r="AR34" s="62">
        <v>1093.5725</v>
      </c>
      <c r="AS34" s="64">
        <f>(AV34/TTHH!$C24)</f>
        <v>1</v>
      </c>
      <c r="AT34" s="65">
        <v>1</v>
      </c>
      <c r="AU34" s="56">
        <f>AT34*TTHH!$C24*'Condición Día D'!$J$8</f>
        <v>1093.5725</v>
      </c>
      <c r="AV34" s="32">
        <f>AU34/'Condición Día D'!$J$8</f>
        <v>1066.9000000000001</v>
      </c>
      <c r="BJ34" s="52" t="s">
        <v>50</v>
      </c>
      <c r="BK34" s="62">
        <v>450.48999999999995</v>
      </c>
      <c r="BL34" s="62">
        <f>('Carga y Reparto'!P20/TTHH!C56)*100</f>
        <v>100</v>
      </c>
      <c r="BM34" s="66"/>
      <c r="BN34" s="56">
        <f t="shared" si="0"/>
        <v>450.48999999999995</v>
      </c>
      <c r="BO34" s="56">
        <f>IFERROR(BN34/'Carga y Reparto'!Q20,0)</f>
        <v>474.2</v>
      </c>
      <c r="BP34" s="52">
        <f>TTHH!C56</f>
        <v>474.2</v>
      </c>
    </row>
    <row r="35" spans="5:91" x14ac:dyDescent="0.3">
      <c r="E35" s="52" t="s">
        <v>26</v>
      </c>
      <c r="F35" s="62">
        <v>0</v>
      </c>
      <c r="G35" s="64">
        <f>('Carga y Reparto'!P40/TTHH!C25)</f>
        <v>0</v>
      </c>
      <c r="H35" s="65"/>
      <c r="I35" s="56">
        <f>H35*TTHH!C25*'Condición Día D'!$J$8</f>
        <v>0</v>
      </c>
      <c r="J35" s="32">
        <f>I35/'Condición Día D'!$J$8</f>
        <v>0</v>
      </c>
      <c r="X35" s="52" t="s">
        <v>26</v>
      </c>
      <c r="Y35" s="62">
        <v>0</v>
      </c>
      <c r="Z35" s="64">
        <f>(J35/TTHH!$C25)</f>
        <v>0</v>
      </c>
      <c r="AA35" s="65"/>
      <c r="AB35" s="56">
        <f>AA35*TTHH!$C25*'Condición Día D'!$J$8</f>
        <v>0</v>
      </c>
      <c r="AC35" s="32">
        <f>AB35/'Condición Día D'!$J$8</f>
        <v>0</v>
      </c>
      <c r="AO35" s="65"/>
      <c r="AQ35" s="52" t="s">
        <v>26</v>
      </c>
      <c r="AR35" s="62">
        <v>0</v>
      </c>
      <c r="AS35" s="64">
        <f>(AV35/TTHH!$C25)</f>
        <v>0</v>
      </c>
      <c r="AT35" s="65"/>
      <c r="AU35" s="56">
        <f>AT35*TTHH!$C25*'Condición Día D'!$J$8</f>
        <v>0</v>
      </c>
      <c r="AV35" s="32">
        <f>AU35/'Condición Día D'!$J$8</f>
        <v>0</v>
      </c>
      <c r="BJ35" s="52" t="s">
        <v>51</v>
      </c>
      <c r="BK35" s="62">
        <v>42.94</v>
      </c>
      <c r="BL35" s="62">
        <f>('Carga y Reparto'!P21/TTHH!C57)*100</f>
        <v>100</v>
      </c>
      <c r="BM35" s="66"/>
      <c r="BN35" s="56">
        <f t="shared" si="0"/>
        <v>42.94</v>
      </c>
      <c r="BO35" s="56">
        <f>IFERROR(BN35/'Carga y Reparto'!Q21,0)</f>
        <v>45.2</v>
      </c>
      <c r="BP35" s="52">
        <f>TTHH!C57</f>
        <v>45.2</v>
      </c>
    </row>
    <row r="36" spans="5:91" x14ac:dyDescent="0.3">
      <c r="E36" s="52" t="s">
        <v>22</v>
      </c>
      <c r="F36" s="62">
        <v>0</v>
      </c>
      <c r="G36" s="64">
        <f>('Carga y Reparto'!P41/TTHH!C26)</f>
        <v>0</v>
      </c>
      <c r="H36" s="65">
        <v>1</v>
      </c>
      <c r="I36" s="56">
        <f>H36*TTHH!C26*'Condición Día D'!$J$8</f>
        <v>622.89250000000004</v>
      </c>
      <c r="J36" s="32">
        <f>I36/'Condición Día D'!$J$8</f>
        <v>607.70000000000005</v>
      </c>
      <c r="X36" s="52" t="s">
        <v>22</v>
      </c>
      <c r="Y36" s="62">
        <v>622.89250000000004</v>
      </c>
      <c r="Z36" s="64">
        <f>(J36/TTHH!$C26)</f>
        <v>1</v>
      </c>
      <c r="AA36" s="65">
        <v>1</v>
      </c>
      <c r="AB36" s="56">
        <f>AA36*TTHH!$C26*'Condición Día D'!$J$8</f>
        <v>622.89250000000004</v>
      </c>
      <c r="AC36" s="32">
        <f>AB36/'Condición Día D'!$J$8</f>
        <v>607.70000000000005</v>
      </c>
      <c r="AO36" s="65">
        <v>1</v>
      </c>
      <c r="AQ36" s="52" t="s">
        <v>22</v>
      </c>
      <c r="AR36" s="62">
        <v>622.89250000000004</v>
      </c>
      <c r="AS36" s="64">
        <f>(AV36/TTHH!$C26)</f>
        <v>1</v>
      </c>
      <c r="AT36" s="65">
        <v>1</v>
      </c>
      <c r="AU36" s="56">
        <f>AT36*TTHH!$C26*'Condición Día D'!$J$8</f>
        <v>622.89250000000004</v>
      </c>
      <c r="AV36" s="32">
        <f>AU36/'Condición Día D'!$J$8</f>
        <v>607.70000000000005</v>
      </c>
      <c r="BJ36" s="52" t="s">
        <v>52</v>
      </c>
      <c r="BK36" s="62">
        <v>0</v>
      </c>
      <c r="BL36" s="62">
        <f>('Carga y Reparto'!P22/TTHH!C58)*100</f>
        <v>0</v>
      </c>
      <c r="BM36" s="66">
        <v>42.94</v>
      </c>
      <c r="BN36" s="56">
        <f t="shared" si="0"/>
        <v>42.94</v>
      </c>
      <c r="BO36" s="56">
        <f>IFERROR(BN36/'Carga y Reparto'!Q22,0)</f>
        <v>45.2</v>
      </c>
      <c r="BP36" s="52">
        <f>TTHH!C58</f>
        <v>45.2</v>
      </c>
    </row>
    <row r="37" spans="5:91" x14ac:dyDescent="0.3">
      <c r="E37" s="52" t="s">
        <v>31</v>
      </c>
      <c r="F37" s="62">
        <v>0</v>
      </c>
      <c r="G37" s="64">
        <f>('Carga y Reparto'!P42/TTHH!C27)</f>
        <v>0</v>
      </c>
      <c r="H37" s="65"/>
      <c r="I37" s="56">
        <f>H37*TTHH!C27*'Condición Día D'!$J$8</f>
        <v>0</v>
      </c>
      <c r="J37" s="32">
        <f>I37/'Condición Día D'!$J$8</f>
        <v>0</v>
      </c>
      <c r="L37" s="54" t="s">
        <v>11</v>
      </c>
      <c r="M37" s="52" t="s">
        <v>3</v>
      </c>
      <c r="N37" s="52" t="s">
        <v>17</v>
      </c>
      <c r="O37" s="52" t="s">
        <v>382</v>
      </c>
      <c r="P37" s="52" t="s">
        <v>15</v>
      </c>
      <c r="Q37" s="52" t="s">
        <v>383</v>
      </c>
      <c r="R37" s="52" t="s">
        <v>16</v>
      </c>
      <c r="S37" s="52" t="s">
        <v>384</v>
      </c>
      <c r="T37" s="52" t="s">
        <v>4</v>
      </c>
      <c r="X37" s="52" t="s">
        <v>31</v>
      </c>
      <c r="Y37" s="62">
        <v>0</v>
      </c>
      <c r="Z37" s="64">
        <f>(J37/TTHH!$C27)</f>
        <v>0</v>
      </c>
      <c r="AA37" s="65">
        <v>1</v>
      </c>
      <c r="AB37" s="56">
        <f>AA37*TTHH!$C27*'Condición Día D'!$J$8</f>
        <v>622.89250000000004</v>
      </c>
      <c r="AC37" s="32">
        <f>AB37/'Condición Día D'!$J$8</f>
        <v>607.70000000000005</v>
      </c>
      <c r="AE37" s="54" t="s">
        <v>11</v>
      </c>
      <c r="AF37" s="52" t="s">
        <v>3</v>
      </c>
      <c r="AG37" s="52" t="s">
        <v>17</v>
      </c>
      <c r="AH37" s="52" t="s">
        <v>382</v>
      </c>
      <c r="AI37" s="52" t="s">
        <v>15</v>
      </c>
      <c r="AJ37" s="52" t="s">
        <v>383</v>
      </c>
      <c r="AK37" s="52" t="s">
        <v>16</v>
      </c>
      <c r="AL37" s="52" t="s">
        <v>384</v>
      </c>
      <c r="AM37" s="52" t="s">
        <v>4</v>
      </c>
      <c r="AO37" s="65"/>
      <c r="AQ37" s="52" t="s">
        <v>31</v>
      </c>
      <c r="AR37" s="62">
        <v>0</v>
      </c>
      <c r="AS37" s="64">
        <f>(AV37/TTHH!$C27)</f>
        <v>0</v>
      </c>
      <c r="AT37" s="65"/>
      <c r="AU37" s="56">
        <f>AT37*TTHH!$C27*'Condición Día D'!$J$8</f>
        <v>0</v>
      </c>
      <c r="AV37" s="32">
        <f>AU37/'Condición Día D'!$J$8</f>
        <v>0</v>
      </c>
      <c r="AX37" s="54" t="s">
        <v>11</v>
      </c>
      <c r="AY37" s="52" t="s">
        <v>3</v>
      </c>
      <c r="AZ37" s="52" t="s">
        <v>17</v>
      </c>
      <c r="BA37" s="52" t="s">
        <v>382</v>
      </c>
      <c r="BB37" s="52" t="s">
        <v>15</v>
      </c>
      <c r="BC37" s="52" t="s">
        <v>383</v>
      </c>
      <c r="BD37" s="52" t="s">
        <v>16</v>
      </c>
      <c r="BE37" s="52" t="s">
        <v>384</v>
      </c>
      <c r="BF37" s="52" t="s">
        <v>4</v>
      </c>
      <c r="BJ37" s="52" t="s">
        <v>53</v>
      </c>
      <c r="BK37" s="62">
        <v>42.94</v>
      </c>
      <c r="BL37" s="62">
        <f>('Carga y Reparto'!P23/TTHH!C59)*100</f>
        <v>100</v>
      </c>
      <c r="BM37" s="66"/>
      <c r="BN37" s="56">
        <f t="shared" si="0"/>
        <v>42.94</v>
      </c>
      <c r="BO37" s="56">
        <f>IFERROR(BN37/'Carga y Reparto'!Q23,0)</f>
        <v>45.2</v>
      </c>
      <c r="BP37" s="52">
        <f>TTHH!C59</f>
        <v>45.2</v>
      </c>
      <c r="BS37" s="54" t="s">
        <v>11</v>
      </c>
      <c r="BT37" s="52" t="s">
        <v>3</v>
      </c>
      <c r="BU37" s="52" t="s">
        <v>17</v>
      </c>
      <c r="BV37" s="52" t="s">
        <v>382</v>
      </c>
      <c r="BW37" s="52" t="s">
        <v>15</v>
      </c>
      <c r="BX37" s="52" t="s">
        <v>383</v>
      </c>
      <c r="BY37" s="52" t="s">
        <v>16</v>
      </c>
      <c r="BZ37" s="52" t="s">
        <v>384</v>
      </c>
      <c r="CA37" s="52" t="s">
        <v>4</v>
      </c>
      <c r="CE37" s="54" t="s">
        <v>11</v>
      </c>
      <c r="CF37" s="52" t="s">
        <v>3</v>
      </c>
      <c r="CG37" s="52" t="s">
        <v>17</v>
      </c>
      <c r="CH37" s="52" t="s">
        <v>382</v>
      </c>
      <c r="CI37" s="52" t="s">
        <v>15</v>
      </c>
      <c r="CJ37" s="52" t="s">
        <v>383</v>
      </c>
      <c r="CK37" s="52" t="s">
        <v>16</v>
      </c>
      <c r="CL37" s="52" t="s">
        <v>384</v>
      </c>
      <c r="CM37" s="52" t="s">
        <v>4</v>
      </c>
    </row>
    <row r="38" spans="5:91" x14ac:dyDescent="0.3">
      <c r="E38" s="52" t="s">
        <v>24</v>
      </c>
      <c r="F38" s="62">
        <v>248.53474</v>
      </c>
      <c r="G38" s="64">
        <f>('Carga y Reparto'!P43/TTHH!C28)</f>
        <v>0.24399999999999999</v>
      </c>
      <c r="H38" s="65">
        <v>1</v>
      </c>
      <c r="I38" s="56">
        <f>H38*TTHH!C28*'Condición Día D'!$J$8</f>
        <v>1033.7124999999999</v>
      </c>
      <c r="J38" s="32">
        <f>I38/'Condición Día D'!$J$8</f>
        <v>1008.5</v>
      </c>
      <c r="L38" s="52" t="s">
        <v>6</v>
      </c>
      <c r="M38" s="56" cm="1">
        <f t="array" aca="1" ref="M38:M42" ca="1">_xlfn.ANCHORARRAY(F11)</f>
        <v>10453.033452397769</v>
      </c>
      <c r="N38" s="56" cm="1">
        <f t="array" aca="1" ref="N38:N42" ca="1">'Condición Día D'!V11:V15</f>
        <v>10.119999999999999</v>
      </c>
      <c r="O38" s="56">
        <f ca="1">M38*N38</f>
        <v>105784.69853826541</v>
      </c>
      <c r="P38" s="56" cm="1">
        <f t="array" aca="1" ref="P38:P42" ca="1">_xlfn.ANCHORARRAY('Condición Día D'!X11)</f>
        <v>158.59</v>
      </c>
      <c r="Q38" s="56">
        <f ca="1">M38*P38</f>
        <v>1657746.5752157622</v>
      </c>
      <c r="R38" s="52" cm="1">
        <f t="array" ref="R38:R42">_xlfn.ANCHORARRAY('Condición Llegada'!Z11)</f>
        <v>0</v>
      </c>
      <c r="S38" s="56">
        <f ca="1">M38*R38</f>
        <v>0</v>
      </c>
      <c r="T38" s="18"/>
      <c r="X38" s="52" t="s">
        <v>24</v>
      </c>
      <c r="Y38" s="62">
        <v>1033.7124999999999</v>
      </c>
      <c r="Z38" s="64">
        <f>(J38/TTHH!$C28)</f>
        <v>1</v>
      </c>
      <c r="AA38" s="65">
        <v>1</v>
      </c>
      <c r="AB38" s="56">
        <f>AA38*TTHH!$C28*'Condición Día D'!$J$8</f>
        <v>1033.7124999999999</v>
      </c>
      <c r="AC38" s="32">
        <f>AB38/'Condición Día D'!$J$8</f>
        <v>1008.5</v>
      </c>
      <c r="AE38" s="52" t="s">
        <v>6</v>
      </c>
      <c r="AF38" s="56" cm="1">
        <f t="array" aca="1" ref="AF38:AF42" ca="1">_xlfn.ANCHORARRAY(Y11)</f>
        <v>10453.033452397769</v>
      </c>
      <c r="AG38" s="56" cm="1">
        <f t="array" aca="1" ref="AG38:AG42" ca="1">_xlfn.ANCHORARRAY(N38)</f>
        <v>10.119999999999999</v>
      </c>
      <c r="AH38" s="56">
        <f ca="1">AF38*AG38</f>
        <v>105784.69853826541</v>
      </c>
      <c r="AI38" s="56" cm="1">
        <f t="array" aca="1" ref="AI38:AI42" ca="1">_xlfn.ANCHORARRAY(P38)</f>
        <v>158.59</v>
      </c>
      <c r="AJ38" s="56">
        <f ca="1">AF38*AI38</f>
        <v>1657746.5752157622</v>
      </c>
      <c r="AK38" s="52" cm="1">
        <f t="array" ref="AK38:AK42">_xlfn.ANCHORARRAY(R38)</f>
        <v>0</v>
      </c>
      <c r="AL38" s="56">
        <f ca="1">AF38*AK38</f>
        <v>0</v>
      </c>
      <c r="AM38" s="18"/>
      <c r="AO38" s="65">
        <v>1</v>
      </c>
      <c r="AQ38" s="52" t="s">
        <v>24</v>
      </c>
      <c r="AR38" s="62">
        <v>1033.7124999999999</v>
      </c>
      <c r="AS38" s="64">
        <f>(AV38/TTHH!$C28)</f>
        <v>1</v>
      </c>
      <c r="AT38" s="65">
        <v>1</v>
      </c>
      <c r="AU38" s="56">
        <f>AT38*TTHH!$C28*'Condición Día D'!$J$8</f>
        <v>1033.7124999999999</v>
      </c>
      <c r="AV38" s="32">
        <f>AU38/'Condición Día D'!$J$8</f>
        <v>1008.5</v>
      </c>
      <c r="AX38" s="52" t="s">
        <v>6</v>
      </c>
      <c r="AY38" s="56" cm="1">
        <f t="array" aca="1" ref="AY38:AY42" ca="1">_xlfn.ANCHORARRAY(AR11)</f>
        <v>10453.033452397769</v>
      </c>
      <c r="AZ38" s="56" cm="1">
        <f t="array" aca="1" ref="AZ38:AZ42" ca="1">_xlfn.ANCHORARRAY(AG38)</f>
        <v>10.119999999999999</v>
      </c>
      <c r="BA38" s="56">
        <f ca="1">AY38*AZ38</f>
        <v>105784.69853826541</v>
      </c>
      <c r="BB38" s="56" cm="1">
        <f t="array" aca="1" ref="BB38:BB42" ca="1">_xlfn.ANCHORARRAY(AI38)</f>
        <v>158.59</v>
      </c>
      <c r="BC38" s="56">
        <f ca="1">AY38*BB38</f>
        <v>1657746.5752157622</v>
      </c>
      <c r="BD38" s="52" cm="1">
        <f t="array" ref="BD38:BD42">_xlfn.ANCHORARRAY(AK38)</f>
        <v>0</v>
      </c>
      <c r="BE38" s="56">
        <f ca="1">AY38*BD38</f>
        <v>0</v>
      </c>
      <c r="BF38" s="18"/>
      <c r="BJ38" s="52" t="s">
        <v>54</v>
      </c>
      <c r="BK38" s="62">
        <v>8.5879999999999992</v>
      </c>
      <c r="BL38" s="62">
        <f>('Carga y Reparto'!P24/TTHH!C60)*100</f>
        <v>19.999999999999996</v>
      </c>
      <c r="BM38" s="66">
        <v>34.35</v>
      </c>
      <c r="BN38" s="56">
        <f t="shared" si="0"/>
        <v>42.938000000000002</v>
      </c>
      <c r="BO38" s="56">
        <f>IFERROR(BN38/'Carga y Reparto'!Q24,0)</f>
        <v>45.197894736842109</v>
      </c>
      <c r="BP38" s="52">
        <f>TTHH!C60</f>
        <v>45.2</v>
      </c>
      <c r="BS38" s="52" t="s">
        <v>6</v>
      </c>
      <c r="BT38" s="56" cm="1">
        <f t="array" aca="1" ref="BT38:BZ42" ca="1">AY38:BE42</f>
        <v>10453.033452397769</v>
      </c>
      <c r="BU38" s="56">
        <f ca="1"/>
        <v>10.119999999999999</v>
      </c>
      <c r="BV38" s="56">
        <f ca="1"/>
        <v>105784.69853826541</v>
      </c>
      <c r="BW38" s="56">
        <f ca="1"/>
        <v>158.59</v>
      </c>
      <c r="BX38" s="56">
        <f ca="1"/>
        <v>1657746.5752157622</v>
      </c>
      <c r="BY38" s="52">
        <f ca="1"/>
        <v>0</v>
      </c>
      <c r="BZ38" s="56">
        <f ca="1"/>
        <v>0</v>
      </c>
      <c r="CA38" s="18"/>
      <c r="CE38" s="52" t="s">
        <v>6</v>
      </c>
      <c r="CF38" s="56" cm="1">
        <f t="array" aca="1" ref="CF38:CG42" ca="1">BT38:BU42</f>
        <v>10453.033452397769</v>
      </c>
      <c r="CG38" s="56">
        <f ca="1"/>
        <v>10.119999999999999</v>
      </c>
      <c r="CH38" s="56">
        <f ca="1">CF38*CG38</f>
        <v>105784.69853826541</v>
      </c>
      <c r="CI38" s="56" cm="1">
        <f t="array" aca="1" ref="CI38:CI42" ca="1">BW38:BW42</f>
        <v>158.59</v>
      </c>
      <c r="CJ38" s="56">
        <f ca="1">CF38*CI38</f>
        <v>1657746.5752157622</v>
      </c>
      <c r="CK38" s="52" cm="1">
        <f t="array" aca="1" ref="CK38:CK42" ca="1">BY38:BY42</f>
        <v>0</v>
      </c>
      <c r="CL38" s="56">
        <f ca="1">CF38*CK38</f>
        <v>0</v>
      </c>
      <c r="CM38" s="18"/>
    </row>
    <row r="39" spans="5:91" x14ac:dyDescent="0.3">
      <c r="E39" s="52" t="s">
        <v>32</v>
      </c>
      <c r="F39" s="62">
        <v>0</v>
      </c>
      <c r="G39" s="64">
        <f>('Carga y Reparto'!P44/TTHH!C29)</f>
        <v>0</v>
      </c>
      <c r="H39" s="65"/>
      <c r="I39" s="56">
        <f>H39*TTHH!C29*'Condición Día D'!$J$8</f>
        <v>0</v>
      </c>
      <c r="J39" s="32">
        <f>I39/'Condición Día D'!$J$8</f>
        <v>0</v>
      </c>
      <c r="L39" s="52" t="s">
        <v>7</v>
      </c>
      <c r="M39" s="56">
        <f ca="1"/>
        <v>6666.7965382446964</v>
      </c>
      <c r="N39" s="56">
        <f ca="1"/>
        <v>7.1807724616872548</v>
      </c>
      <c r="O39" s="56">
        <f ca="1">M39*N39</f>
        <v>47872.748989499436</v>
      </c>
      <c r="P39" s="56">
        <f ca="1"/>
        <v>130.02000000000001</v>
      </c>
      <c r="Q39" s="56">
        <f ca="1">M39*P39</f>
        <v>866816.88590257545</v>
      </c>
      <c r="R39" s="52">
        <v>0</v>
      </c>
      <c r="S39" s="56">
        <f ca="1">M39*R39</f>
        <v>0</v>
      </c>
      <c r="T39" s="18"/>
      <c r="X39" s="52" t="s">
        <v>32</v>
      </c>
      <c r="Y39" s="62">
        <v>0</v>
      </c>
      <c r="Z39" s="64">
        <f>(J39/TTHH!$C29)</f>
        <v>0</v>
      </c>
      <c r="AA39" s="65"/>
      <c r="AB39" s="56">
        <f>AA39*TTHH!$C29*'Condición Día D'!$J$8</f>
        <v>0</v>
      </c>
      <c r="AC39" s="32">
        <f>AB39/'Condición Día D'!$J$8</f>
        <v>0</v>
      </c>
      <c r="AE39" s="52" t="s">
        <v>7</v>
      </c>
      <c r="AF39" s="56">
        <f ca="1"/>
        <v>6666.7965382446964</v>
      </c>
      <c r="AG39" s="56">
        <f ca="1"/>
        <v>7.1807724616872548</v>
      </c>
      <c r="AH39" s="56">
        <f ca="1">AF39*AG39</f>
        <v>47872.748989499436</v>
      </c>
      <c r="AI39" s="56">
        <f ca="1"/>
        <v>130.02000000000001</v>
      </c>
      <c r="AJ39" s="56">
        <f ca="1">AF39*AI39</f>
        <v>866816.88590257545</v>
      </c>
      <c r="AK39" s="52">
        <v>0</v>
      </c>
      <c r="AL39" s="56">
        <f ca="1">AF39*AK39</f>
        <v>0</v>
      </c>
      <c r="AM39" s="18"/>
      <c r="AO39" s="65">
        <v>1</v>
      </c>
      <c r="AQ39" s="52" t="s">
        <v>32</v>
      </c>
      <c r="AR39" s="62">
        <v>0</v>
      </c>
      <c r="AS39" s="64">
        <f>(AV39/TTHH!$C29)</f>
        <v>1</v>
      </c>
      <c r="AT39" s="65">
        <v>1</v>
      </c>
      <c r="AU39" s="56">
        <f>AT39*TTHH!$C29*'Condición Día D'!$J$8</f>
        <v>1033.7124999999999</v>
      </c>
      <c r="AV39" s="32">
        <f>AU39/'Condición Día D'!$J$8</f>
        <v>1008.5</v>
      </c>
      <c r="AX39" s="52" t="s">
        <v>7</v>
      </c>
      <c r="AY39" s="56">
        <f ca="1"/>
        <v>6666.7965382446964</v>
      </c>
      <c r="AZ39" s="56">
        <f ca="1"/>
        <v>7.1807724616872548</v>
      </c>
      <c r="BA39" s="56">
        <f ca="1">AY39*AZ39</f>
        <v>47872.748989499436</v>
      </c>
      <c r="BB39" s="56">
        <f ca="1"/>
        <v>130.02000000000001</v>
      </c>
      <c r="BC39" s="56">
        <f ca="1">AY39*BB39</f>
        <v>866816.88590257545</v>
      </c>
      <c r="BD39" s="52">
        <v>0</v>
      </c>
      <c r="BE39" s="56">
        <f ca="1">AY39*BD39</f>
        <v>0</v>
      </c>
      <c r="BF39" s="18"/>
      <c r="BJ39" s="52" t="s">
        <v>55</v>
      </c>
      <c r="BK39" s="62">
        <v>4.3890000000000002</v>
      </c>
      <c r="BL39" s="62">
        <f>('Carga y Reparto'!P25/TTHH!C61)*100</f>
        <v>12.000000000000002</v>
      </c>
      <c r="BM39" s="66">
        <v>32.19</v>
      </c>
      <c r="BN39" s="56">
        <f t="shared" si="0"/>
        <v>36.579000000000001</v>
      </c>
      <c r="BO39" s="56">
        <f>IFERROR(BN39/'Carga y Reparto'!Q25,0)</f>
        <v>38.504210526315795</v>
      </c>
      <c r="BP39" s="52">
        <f>TTHH!C61</f>
        <v>38.5</v>
      </c>
      <c r="BS39" s="52" t="s">
        <v>7</v>
      </c>
      <c r="BT39" s="56">
        <f ca="1"/>
        <v>6666.7965382446964</v>
      </c>
      <c r="BU39" s="56">
        <f ca="1"/>
        <v>7.1807724616872548</v>
      </c>
      <c r="BV39" s="56">
        <f ca="1"/>
        <v>47872.748989499436</v>
      </c>
      <c r="BW39" s="56">
        <f ca="1"/>
        <v>130.02000000000001</v>
      </c>
      <c r="BX39" s="56">
        <f ca="1"/>
        <v>866816.88590257545</v>
      </c>
      <c r="BY39" s="52">
        <f ca="1"/>
        <v>0</v>
      </c>
      <c r="BZ39" s="56">
        <f ca="1"/>
        <v>0</v>
      </c>
      <c r="CA39" s="18"/>
      <c r="CE39" s="52" t="s">
        <v>7</v>
      </c>
      <c r="CF39" s="56">
        <f ca="1"/>
        <v>6666.7965382446964</v>
      </c>
      <c r="CG39" s="56">
        <f ca="1"/>
        <v>7.1807724616872548</v>
      </c>
      <c r="CH39" s="56">
        <f ca="1">CF39*CG39</f>
        <v>47872.748989499436</v>
      </c>
      <c r="CI39" s="56">
        <f ca="1"/>
        <v>130.02000000000001</v>
      </c>
      <c r="CJ39" s="56">
        <f ca="1">CF39*CI39</f>
        <v>866816.88590257545</v>
      </c>
      <c r="CK39" s="52">
        <f ca="1"/>
        <v>0</v>
      </c>
      <c r="CL39" s="56">
        <f ca="1">CF39*CK39</f>
        <v>0</v>
      </c>
      <c r="CM39" s="18"/>
    </row>
    <row r="40" spans="5:91" x14ac:dyDescent="0.3">
      <c r="E40" s="52" t="s">
        <v>33</v>
      </c>
      <c r="F40" s="62">
        <v>0</v>
      </c>
      <c r="G40" s="64">
        <f>('Carga y Reparto'!P45/TTHH!C30)</f>
        <v>0</v>
      </c>
      <c r="H40" s="65">
        <v>1</v>
      </c>
      <c r="I40" s="56">
        <f>H40*TTHH!C30*'Condición Día D'!$J$8</f>
        <v>622.89250000000004</v>
      </c>
      <c r="J40" s="32">
        <f>I40/'Condición Día D'!$J$8</f>
        <v>607.70000000000005</v>
      </c>
      <c r="L40" s="52" t="s">
        <v>8</v>
      </c>
      <c r="M40" s="56">
        <f ca="1"/>
        <v>11226.447776454837</v>
      </c>
      <c r="N40" s="56">
        <f ca="1"/>
        <v>10.210000000000001</v>
      </c>
      <c r="O40" s="56">
        <f ca="1">M40*N40</f>
        <v>114622.03179760389</v>
      </c>
      <c r="P40" s="56">
        <f ca="1"/>
        <v>101.22</v>
      </c>
      <c r="Q40" s="56">
        <f ca="1">M40*P40</f>
        <v>1136341.0439327587</v>
      </c>
      <c r="R40" s="52">
        <v>0</v>
      </c>
      <c r="S40" s="56">
        <f ca="1">M40*R40</f>
        <v>0</v>
      </c>
      <c r="T40" s="18"/>
      <c r="X40" s="52" t="s">
        <v>33</v>
      </c>
      <c r="Y40" s="62">
        <v>622.89250000000004</v>
      </c>
      <c r="Z40" s="64">
        <f>(J40/TTHH!$C30)</f>
        <v>1</v>
      </c>
      <c r="AA40" s="65">
        <v>1</v>
      </c>
      <c r="AB40" s="56">
        <f>AA40*TTHH!$C30*'Condición Día D'!$J$8</f>
        <v>622.89250000000004</v>
      </c>
      <c r="AC40" s="32">
        <f>AB40/'Condición Día D'!$J$8</f>
        <v>607.70000000000005</v>
      </c>
      <c r="AE40" s="52" t="s">
        <v>8</v>
      </c>
      <c r="AF40" s="56">
        <f ca="1"/>
        <v>11226.447776454837</v>
      </c>
      <c r="AG40" s="56">
        <f ca="1"/>
        <v>10.210000000000001</v>
      </c>
      <c r="AH40" s="56">
        <f ca="1">AF40*AG40</f>
        <v>114622.03179760389</v>
      </c>
      <c r="AI40" s="56">
        <f ca="1"/>
        <v>101.22</v>
      </c>
      <c r="AJ40" s="56">
        <f ca="1">AF40*AI40</f>
        <v>1136341.0439327587</v>
      </c>
      <c r="AK40" s="52">
        <v>0</v>
      </c>
      <c r="AL40" s="56">
        <f ca="1">AF40*AK40</f>
        <v>0</v>
      </c>
      <c r="AM40" s="18"/>
      <c r="AO40" s="65">
        <v>1</v>
      </c>
      <c r="AQ40" s="52" t="s">
        <v>33</v>
      </c>
      <c r="AR40" s="62">
        <v>622.89250000000004</v>
      </c>
      <c r="AS40" s="64">
        <f>(AV40/TTHH!$C30)</f>
        <v>1</v>
      </c>
      <c r="AT40" s="65">
        <v>1</v>
      </c>
      <c r="AU40" s="56">
        <f>AT40*TTHH!$C30*'Condición Día D'!$J$8</f>
        <v>622.89250000000004</v>
      </c>
      <c r="AV40" s="32">
        <f>AU40/'Condición Día D'!$J$8</f>
        <v>607.70000000000005</v>
      </c>
      <c r="AX40" s="52" t="s">
        <v>8</v>
      </c>
      <c r="AY40" s="56">
        <f ca="1"/>
        <v>11226.447776454837</v>
      </c>
      <c r="AZ40" s="56">
        <f ca="1"/>
        <v>10.210000000000001</v>
      </c>
      <c r="BA40" s="56">
        <f ca="1">AY40*AZ40</f>
        <v>114622.03179760389</v>
      </c>
      <c r="BB40" s="56">
        <f ca="1"/>
        <v>101.22</v>
      </c>
      <c r="BC40" s="56">
        <f ca="1">AY40*BB40</f>
        <v>1136341.0439327587</v>
      </c>
      <c r="BD40" s="52">
        <v>0</v>
      </c>
      <c r="BE40" s="56">
        <f ca="1">AY40*BD40</f>
        <v>0</v>
      </c>
      <c r="BF40" s="18"/>
      <c r="BS40" s="52" t="s">
        <v>8</v>
      </c>
      <c r="BT40" s="56">
        <f ca="1"/>
        <v>11226.447776454837</v>
      </c>
      <c r="BU40" s="56">
        <f ca="1"/>
        <v>10.210000000000001</v>
      </c>
      <c r="BV40" s="56">
        <f ca="1"/>
        <v>114622.03179760389</v>
      </c>
      <c r="BW40" s="56">
        <f ca="1"/>
        <v>101.22</v>
      </c>
      <c r="BX40" s="56">
        <f ca="1"/>
        <v>1136341.0439327587</v>
      </c>
      <c r="BY40" s="52">
        <f ca="1"/>
        <v>0</v>
      </c>
      <c r="BZ40" s="56">
        <f ca="1"/>
        <v>0</v>
      </c>
      <c r="CA40" s="18"/>
      <c r="CE40" s="52" t="s">
        <v>8</v>
      </c>
      <c r="CF40" s="56">
        <f ca="1"/>
        <v>11226.447776454837</v>
      </c>
      <c r="CG40" s="56">
        <f ca="1"/>
        <v>10.210000000000001</v>
      </c>
      <c r="CH40" s="56">
        <f ca="1">CF40*CG40</f>
        <v>114622.03179760389</v>
      </c>
      <c r="CI40" s="56">
        <f ca="1"/>
        <v>101.22</v>
      </c>
      <c r="CJ40" s="56">
        <f ca="1">CF40*CI40</f>
        <v>1136341.0439327587</v>
      </c>
      <c r="CK40" s="52">
        <f ca="1"/>
        <v>0</v>
      </c>
      <c r="CL40" s="56">
        <f ca="1">CF40*CK40</f>
        <v>0</v>
      </c>
      <c r="CM40" s="18"/>
    </row>
    <row r="41" spans="5:91" x14ac:dyDescent="0.3">
      <c r="E41" s="52" t="s">
        <v>34</v>
      </c>
      <c r="F41" s="62">
        <v>0</v>
      </c>
      <c r="G41" s="64">
        <f>('Carga y Reparto'!P46/TTHH!C31)</f>
        <v>0</v>
      </c>
      <c r="H41" s="65"/>
      <c r="I41" s="56">
        <f>H41*TTHH!C31*'Condición Día D'!$J$8</f>
        <v>0</v>
      </c>
      <c r="J41" s="32">
        <f>I41/'Condición Día D'!$J$8</f>
        <v>0</v>
      </c>
      <c r="L41" s="52" t="s">
        <v>9</v>
      </c>
      <c r="M41" s="56">
        <f ca="1"/>
        <v>971.62247758777448</v>
      </c>
      <c r="N41" s="56">
        <f ca="1"/>
        <v>2.6451242211056494</v>
      </c>
      <c r="O41" s="56">
        <f ca="1">M41*N41</f>
        <v>2570.0621492381033</v>
      </c>
      <c r="P41" s="56">
        <f ca="1"/>
        <v>72.400000000000006</v>
      </c>
      <c r="Q41" s="56">
        <f ca="1">M41*P41</f>
        <v>70345.467377354871</v>
      </c>
      <c r="R41" s="52">
        <v>0</v>
      </c>
      <c r="S41" s="56">
        <f ca="1">M41*R41</f>
        <v>0</v>
      </c>
      <c r="T41" s="18"/>
      <c r="X41" s="52" t="s">
        <v>34</v>
      </c>
      <c r="Y41" s="62">
        <v>0</v>
      </c>
      <c r="Z41" s="64">
        <f>(J41/TTHH!$C31)</f>
        <v>0</v>
      </c>
      <c r="AA41" s="65">
        <v>1</v>
      </c>
      <c r="AB41" s="56">
        <f>AA41*TTHH!$C31*'Condición Día D'!$J$8</f>
        <v>622.89250000000004</v>
      </c>
      <c r="AC41" s="32">
        <f>AB41/'Condición Día D'!$J$8</f>
        <v>607.70000000000005</v>
      </c>
      <c r="AE41" s="52" t="s">
        <v>9</v>
      </c>
      <c r="AF41" s="56">
        <f ca="1"/>
        <v>971.62247758777448</v>
      </c>
      <c r="AG41" s="56">
        <f ca="1"/>
        <v>2.6451242211056494</v>
      </c>
      <c r="AH41" s="56">
        <f ca="1">AF41*AG41</f>
        <v>2570.0621492381033</v>
      </c>
      <c r="AI41" s="56">
        <f ca="1"/>
        <v>72.400000000000006</v>
      </c>
      <c r="AJ41" s="56">
        <f ca="1">AF41*AI41</f>
        <v>70345.467377354871</v>
      </c>
      <c r="AK41" s="52">
        <v>0</v>
      </c>
      <c r="AL41" s="56">
        <f ca="1">AF41*AK41</f>
        <v>0</v>
      </c>
      <c r="AM41" s="18"/>
      <c r="AO41" s="65">
        <v>1</v>
      </c>
      <c r="AQ41" s="52" t="s">
        <v>34</v>
      </c>
      <c r="AR41" s="62">
        <v>0</v>
      </c>
      <c r="AS41" s="64">
        <f>(AV41/TTHH!$C31)</f>
        <v>1</v>
      </c>
      <c r="AT41" s="65">
        <v>1</v>
      </c>
      <c r="AU41" s="56">
        <f>AT41*TTHH!$C31*'Condición Día D'!$J$8</f>
        <v>622.89250000000004</v>
      </c>
      <c r="AV41" s="32">
        <f>AU41/'Condición Día D'!$J$8</f>
        <v>607.70000000000005</v>
      </c>
      <c r="AX41" s="52" t="s">
        <v>9</v>
      </c>
      <c r="AY41" s="56">
        <f ca="1"/>
        <v>971.62247758777448</v>
      </c>
      <c r="AZ41" s="56">
        <f ca="1"/>
        <v>2.6451242211056494</v>
      </c>
      <c r="BA41" s="56">
        <f ca="1">AY41*AZ41</f>
        <v>2570.0621492381033</v>
      </c>
      <c r="BB41" s="56">
        <f ca="1"/>
        <v>72.400000000000006</v>
      </c>
      <c r="BC41" s="56">
        <f ca="1">AY41*BB41</f>
        <v>70345.467377354871</v>
      </c>
      <c r="BD41" s="52">
        <v>0</v>
      </c>
      <c r="BE41" s="56">
        <f ca="1">AY41*BD41</f>
        <v>0</v>
      </c>
      <c r="BF41" s="18"/>
      <c r="BS41" s="52" t="s">
        <v>9</v>
      </c>
      <c r="BT41" s="56">
        <f ca="1"/>
        <v>971.62247758777448</v>
      </c>
      <c r="BU41" s="56">
        <f ca="1"/>
        <v>2.6451242211056494</v>
      </c>
      <c r="BV41" s="56">
        <f ca="1"/>
        <v>2570.0621492381033</v>
      </c>
      <c r="BW41" s="56">
        <f ca="1"/>
        <v>72.400000000000006</v>
      </c>
      <c r="BX41" s="56">
        <f ca="1"/>
        <v>70345.467377354871</v>
      </c>
      <c r="BY41" s="52">
        <f ca="1"/>
        <v>0</v>
      </c>
      <c r="BZ41" s="56">
        <f ca="1"/>
        <v>0</v>
      </c>
      <c r="CA41" s="18"/>
      <c r="CE41" s="52" t="s">
        <v>9</v>
      </c>
      <c r="CF41" s="56">
        <f ca="1"/>
        <v>971.62247758777448</v>
      </c>
      <c r="CG41" s="56">
        <f ca="1"/>
        <v>2.6451242211056494</v>
      </c>
      <c r="CH41" s="56">
        <f ca="1">CF41*CG41</f>
        <v>2570.0621492381033</v>
      </c>
      <c r="CI41" s="56">
        <f ca="1"/>
        <v>72.400000000000006</v>
      </c>
      <c r="CJ41" s="56">
        <f ca="1">CF41*CI41</f>
        <v>70345.467377354871</v>
      </c>
      <c r="CK41" s="52">
        <f ca="1"/>
        <v>0</v>
      </c>
      <c r="CL41" s="56">
        <f ca="1">CF41*CK41</f>
        <v>0</v>
      </c>
      <c r="CM41" s="18"/>
    </row>
    <row r="42" spans="5:91" x14ac:dyDescent="0.3">
      <c r="E42" s="52" t="s">
        <v>35</v>
      </c>
      <c r="F42" s="62">
        <v>0</v>
      </c>
      <c r="G42" s="64">
        <f>('Carga y Reparto'!P47/TTHH!C32)</f>
        <v>0</v>
      </c>
      <c r="H42" s="65">
        <v>1</v>
      </c>
      <c r="I42" s="56">
        <f>H42*TTHH!C32*'Condición Día D'!$J$8</f>
        <v>1035.0449999999998</v>
      </c>
      <c r="J42" s="32">
        <f>I42/'Condición Día D'!$J$8</f>
        <v>1009.8</v>
      </c>
      <c r="L42" s="52" t="s">
        <v>10</v>
      </c>
      <c r="M42" s="56">
        <f ca="1"/>
        <v>11154.218715314913</v>
      </c>
      <c r="N42" s="56">
        <f ca="1"/>
        <v>10.52</v>
      </c>
      <c r="O42" s="56">
        <f ca="1">M42*N42</f>
        <v>117342.38088511289</v>
      </c>
      <c r="P42" s="56">
        <f ca="1"/>
        <v>43.26</v>
      </c>
      <c r="Q42" s="56">
        <f ca="1">M42*P42</f>
        <v>482531.50162452314</v>
      </c>
      <c r="R42" s="52">
        <v>0</v>
      </c>
      <c r="S42" s="56">
        <f ca="1">M42*R42</f>
        <v>0</v>
      </c>
      <c r="T42" s="18"/>
      <c r="X42" s="52" t="s">
        <v>35</v>
      </c>
      <c r="Y42" s="62">
        <v>1035.0449999999998</v>
      </c>
      <c r="Z42" s="64">
        <f>(J42/TTHH!$C32)</f>
        <v>1</v>
      </c>
      <c r="AA42" s="65">
        <v>1</v>
      </c>
      <c r="AB42" s="56">
        <f>AA42*TTHH!$C32*'Condición Día D'!$J$8</f>
        <v>1035.0449999999998</v>
      </c>
      <c r="AC42" s="32">
        <f>AB42/'Condición Día D'!$J$8</f>
        <v>1009.8</v>
      </c>
      <c r="AE42" s="52" t="s">
        <v>10</v>
      </c>
      <c r="AF42" s="56">
        <f ca="1"/>
        <v>11154.218715314913</v>
      </c>
      <c r="AG42" s="56">
        <f ca="1"/>
        <v>10.52</v>
      </c>
      <c r="AH42" s="56">
        <f ca="1">AF42*AG42</f>
        <v>117342.38088511289</v>
      </c>
      <c r="AI42" s="56">
        <f ca="1"/>
        <v>43.26</v>
      </c>
      <c r="AJ42" s="56">
        <f ca="1">AF42*AI42</f>
        <v>482531.50162452314</v>
      </c>
      <c r="AK42" s="52">
        <v>0</v>
      </c>
      <c r="AL42" s="56">
        <f ca="1">AF42*AK42</f>
        <v>0</v>
      </c>
      <c r="AM42" s="18"/>
      <c r="AO42" s="65">
        <v>1</v>
      </c>
      <c r="AQ42" s="52" t="s">
        <v>35</v>
      </c>
      <c r="AR42" s="62">
        <v>1035.0449999999998</v>
      </c>
      <c r="AS42" s="64">
        <f>(AV42/TTHH!$C32)</f>
        <v>1</v>
      </c>
      <c r="AT42" s="65">
        <v>1</v>
      </c>
      <c r="AU42" s="56">
        <f>AT42*TTHH!$C32*'Condición Día D'!$J$8</f>
        <v>1035.0449999999998</v>
      </c>
      <c r="AV42" s="32">
        <f>AU42/'Condición Día D'!$J$8</f>
        <v>1009.8</v>
      </c>
      <c r="AX42" s="52" t="s">
        <v>10</v>
      </c>
      <c r="AY42" s="56">
        <f ca="1"/>
        <v>11154.218715314913</v>
      </c>
      <c r="AZ42" s="56">
        <f ca="1"/>
        <v>10.52</v>
      </c>
      <c r="BA42" s="56">
        <f ca="1">AY42*AZ42</f>
        <v>117342.38088511289</v>
      </c>
      <c r="BB42" s="56">
        <f ca="1"/>
        <v>43.26</v>
      </c>
      <c r="BC42" s="56">
        <f ca="1">AY42*BB42</f>
        <v>482531.50162452314</v>
      </c>
      <c r="BD42" s="52">
        <v>0</v>
      </c>
      <c r="BE42" s="56">
        <f ca="1">AY42*BD42</f>
        <v>0</v>
      </c>
      <c r="BF42" s="18"/>
      <c r="BJ42" s="54" t="s">
        <v>84</v>
      </c>
      <c r="BK42" s="52" t="s">
        <v>603</v>
      </c>
      <c r="BL42" s="52" t="s">
        <v>628</v>
      </c>
      <c r="BM42" s="52" t="s">
        <v>631</v>
      </c>
      <c r="BN42" s="52" t="s">
        <v>629</v>
      </c>
      <c r="BO42" s="52" t="s">
        <v>630</v>
      </c>
      <c r="BP42" s="52" t="s">
        <v>632</v>
      </c>
      <c r="BS42" s="52" t="s">
        <v>10</v>
      </c>
      <c r="BT42" s="56">
        <f ca="1"/>
        <v>11154.218715314913</v>
      </c>
      <c r="BU42" s="56">
        <f ca="1"/>
        <v>10.52</v>
      </c>
      <c r="BV42" s="56">
        <f ca="1"/>
        <v>117342.38088511289</v>
      </c>
      <c r="BW42" s="56">
        <f ca="1"/>
        <v>43.26</v>
      </c>
      <c r="BX42" s="56">
        <f ca="1"/>
        <v>482531.50162452314</v>
      </c>
      <c r="BY42" s="52">
        <f ca="1"/>
        <v>0</v>
      </c>
      <c r="BZ42" s="56">
        <f ca="1"/>
        <v>0</v>
      </c>
      <c r="CA42" s="18"/>
      <c r="CE42" s="52" t="s">
        <v>10</v>
      </c>
      <c r="CF42" s="56">
        <f ca="1"/>
        <v>11154.218715314913</v>
      </c>
      <c r="CG42" s="56">
        <f ca="1"/>
        <v>10.52</v>
      </c>
      <c r="CH42" s="56">
        <f ca="1">CF42*CG42</f>
        <v>117342.38088511289</v>
      </c>
      <c r="CI42" s="56">
        <f ca="1"/>
        <v>43.26</v>
      </c>
      <c r="CJ42" s="56">
        <f ca="1">CF42*CI42</f>
        <v>482531.50162452314</v>
      </c>
      <c r="CK42" s="52">
        <f ca="1"/>
        <v>0</v>
      </c>
      <c r="CL42" s="56">
        <f ca="1">CF42*CK42</f>
        <v>0</v>
      </c>
      <c r="CM42" s="18"/>
    </row>
    <row r="43" spans="5:91" x14ac:dyDescent="0.3">
      <c r="E43" s="52" t="s">
        <v>36</v>
      </c>
      <c r="F43" s="62">
        <v>0</v>
      </c>
      <c r="G43" s="64">
        <f>('Carga y Reparto'!P48/TTHH!C33)</f>
        <v>0</v>
      </c>
      <c r="H43" s="65"/>
      <c r="I43" s="56">
        <f>H43*TTHH!C33*'Condición Día D'!$J$8</f>
        <v>0</v>
      </c>
      <c r="J43" s="32">
        <f>I43/'Condición Día D'!$J$8</f>
        <v>0</v>
      </c>
      <c r="L43" s="54" t="s">
        <v>19</v>
      </c>
      <c r="M43" s="38"/>
      <c r="N43" s="38"/>
      <c r="O43" s="38"/>
      <c r="P43" s="38"/>
      <c r="Q43" s="38"/>
      <c r="R43" s="38"/>
      <c r="S43" s="38"/>
      <c r="T43" s="38"/>
      <c r="X43" s="52" t="s">
        <v>36</v>
      </c>
      <c r="Y43" s="62">
        <v>0</v>
      </c>
      <c r="Z43" s="64">
        <f>(J43/TTHH!$C33)</f>
        <v>0</v>
      </c>
      <c r="AA43" s="65"/>
      <c r="AB43" s="56">
        <f>AA43*TTHH!$C33*'Condición Día D'!$J$8</f>
        <v>0</v>
      </c>
      <c r="AC43" s="32">
        <f>AB43/'Condición Día D'!$J$8</f>
        <v>0</v>
      </c>
      <c r="AE43" s="54" t="s">
        <v>19</v>
      </c>
      <c r="AF43" s="38"/>
      <c r="AG43" s="38"/>
      <c r="AH43" s="38"/>
      <c r="AI43" s="38"/>
      <c r="AJ43" s="38"/>
      <c r="AK43" s="38"/>
      <c r="AL43" s="38"/>
      <c r="AM43" s="38"/>
      <c r="AO43" s="65">
        <v>1</v>
      </c>
      <c r="AQ43" s="52" t="s">
        <v>36</v>
      </c>
      <c r="AR43" s="62">
        <v>0</v>
      </c>
      <c r="AS43" s="64">
        <f>(AV43/TTHH!$C33)</f>
        <v>1</v>
      </c>
      <c r="AT43" s="65">
        <v>1</v>
      </c>
      <c r="AU43" s="56">
        <f>AT43*TTHH!$C33*'Condición Día D'!$J$8</f>
        <v>1035.0449999999998</v>
      </c>
      <c r="AV43" s="32">
        <f>AU43/'Condición Día D'!$J$8</f>
        <v>1009.8</v>
      </c>
      <c r="AX43" s="54" t="s">
        <v>19</v>
      </c>
      <c r="AY43" s="38"/>
      <c r="AZ43" s="38"/>
      <c r="BA43" s="38"/>
      <c r="BB43" s="38"/>
      <c r="BC43" s="38"/>
      <c r="BD43" s="38"/>
      <c r="BE43" s="38"/>
      <c r="BF43" s="38"/>
      <c r="BJ43" s="52" t="s">
        <v>85</v>
      </c>
      <c r="BK43" s="62" cm="1">
        <f t="array" ref="BK43:BK47">_xlfn.ANCHORARRAY(AU23)</f>
        <v>0</v>
      </c>
      <c r="BL43" s="62">
        <f>('Carga y Reparto'!P87/TTHH!C116)*100</f>
        <v>0</v>
      </c>
      <c r="BM43" s="66"/>
      <c r="BN43" s="56">
        <f>BK43+BM43</f>
        <v>0</v>
      </c>
      <c r="BO43" s="56">
        <f>IFERROR(BN43/'Carga y Reparto'!Q87,0)</f>
        <v>0</v>
      </c>
      <c r="BP43" s="52">
        <f>TTHH!C116</f>
        <v>8.8000000000000007</v>
      </c>
      <c r="BS43" s="54" t="s">
        <v>19</v>
      </c>
      <c r="BT43" s="38"/>
      <c r="BU43" s="38"/>
      <c r="BV43" s="38"/>
      <c r="BW43" s="38"/>
      <c r="BX43" s="38"/>
      <c r="BY43" s="38"/>
      <c r="BZ43" s="38"/>
      <c r="CA43" s="38"/>
      <c r="CE43" s="54" t="s">
        <v>19</v>
      </c>
      <c r="CF43" s="38"/>
      <c r="CG43" s="38"/>
      <c r="CH43" s="38"/>
      <c r="CI43" s="38"/>
      <c r="CJ43" s="38"/>
      <c r="CK43" s="38"/>
      <c r="CL43" s="38"/>
      <c r="CM43" s="38"/>
    </row>
    <row r="44" spans="5:91" x14ac:dyDescent="0.3">
      <c r="E44" s="52" t="s">
        <v>37</v>
      </c>
      <c r="F44" s="62">
        <v>0</v>
      </c>
      <c r="G44" s="64">
        <f>('Carga y Reparto'!P49/TTHH!C34)</f>
        <v>0</v>
      </c>
      <c r="H44" s="65">
        <v>1</v>
      </c>
      <c r="I44" s="56">
        <f>H44*TTHH!C34*'Condición Día D'!$J$8</f>
        <v>622.89250000000004</v>
      </c>
      <c r="J44" s="32">
        <f>I44/'Condición Día D'!$J$8</f>
        <v>607.70000000000005</v>
      </c>
      <c r="L44" s="52" t="s">
        <v>20</v>
      </c>
      <c r="M44" s="56" cm="1">
        <f t="array" ref="M44:M68">I31:I55</f>
        <v>0</v>
      </c>
      <c r="N44" s="52" cm="1">
        <f t="array" ref="N44:N68">'Condición Llegada'!V17:V41</f>
        <v>9.3000000000000007</v>
      </c>
      <c r="O44" s="56">
        <f>M44*N44</f>
        <v>0</v>
      </c>
      <c r="P44" s="52" cm="1">
        <f t="array" ref="P44:P68">'Condición Llegada'!X17:X41</f>
        <v>179.02</v>
      </c>
      <c r="Q44" s="56">
        <f t="shared" ref="Q44:Q68" si="1">M44*P44</f>
        <v>0</v>
      </c>
      <c r="R44" s="52" cm="1">
        <f t="array" ref="R44:R68">'Condición Llegada'!Z17:Z41</f>
        <v>0</v>
      </c>
      <c r="S44" s="56">
        <f>M44*R44</f>
        <v>0</v>
      </c>
      <c r="T44" s="56">
        <f>IF(AND(J31&lt;TTHH!$D21,'Análisis Inundación'!J31&lt;&gt;0),TTHH!$H21,0)</f>
        <v>0</v>
      </c>
      <c r="X44" s="52" t="s">
        <v>37</v>
      </c>
      <c r="Y44" s="62">
        <v>622.89250000000004</v>
      </c>
      <c r="Z44" s="64">
        <f>(J44/TTHH!$C34)</f>
        <v>1</v>
      </c>
      <c r="AA44" s="65">
        <v>1</v>
      </c>
      <c r="AB44" s="56">
        <f>AA44*TTHH!$C34*'Condición Día D'!$J$8</f>
        <v>622.89250000000004</v>
      </c>
      <c r="AC44" s="32">
        <f>AB44/'Condición Día D'!$J$8</f>
        <v>607.70000000000005</v>
      </c>
      <c r="AE44" s="52" t="s">
        <v>20</v>
      </c>
      <c r="AF44" s="56" cm="1">
        <f t="array" ref="AF44:AF68">AB31:AB55</f>
        <v>0</v>
      </c>
      <c r="AG44" s="52" cm="1">
        <f t="array" ref="AG44:AG110">N44:N110</f>
        <v>9.3000000000000007</v>
      </c>
      <c r="AH44" s="56">
        <f>AF44*AG44</f>
        <v>0</v>
      </c>
      <c r="AI44" s="52" cm="1">
        <f t="array" ref="AI44:AI110">P44:P110</f>
        <v>179.02</v>
      </c>
      <c r="AJ44" s="56">
        <f t="shared" ref="AJ44:AJ68" si="2">AF44*AI44</f>
        <v>0</v>
      </c>
      <c r="AK44" s="52" cm="1">
        <f t="array" ref="AK44:AK110">R44:R110</f>
        <v>0</v>
      </c>
      <c r="AL44" s="56">
        <f>AF44*AK44</f>
        <v>0</v>
      </c>
      <c r="AM44" s="56">
        <f>IF(AND(AC31&lt;TTHH!$D21,AC31&lt;&gt;0),TTHH!$H21,0)</f>
        <v>0</v>
      </c>
      <c r="AO44" s="65">
        <v>1</v>
      </c>
      <c r="AQ44" s="52" t="s">
        <v>37</v>
      </c>
      <c r="AR44" s="62">
        <v>622.89250000000004</v>
      </c>
      <c r="AS44" s="64">
        <f>(AV44/TTHH!$C34)</f>
        <v>1</v>
      </c>
      <c r="AT44" s="65">
        <v>1</v>
      </c>
      <c r="AU44" s="56">
        <f>AT44*TTHH!$C34*'Condición Día D'!$J$8</f>
        <v>622.89250000000004</v>
      </c>
      <c r="AV44" s="32">
        <f>AU44/'Condición Día D'!$J$8</f>
        <v>607.70000000000005</v>
      </c>
      <c r="AX44" s="52" t="s">
        <v>20</v>
      </c>
      <c r="AY44" s="56" cm="1">
        <f t="array" ref="AY44:AY68">AU31:AU55</f>
        <v>0</v>
      </c>
      <c r="AZ44" s="52" cm="1">
        <f t="array" ref="AZ44:AZ110">AG44:AG110</f>
        <v>9.3000000000000007</v>
      </c>
      <c r="BA44" s="56">
        <f>AY44*AZ44</f>
        <v>0</v>
      </c>
      <c r="BB44" s="52" cm="1">
        <f t="array" ref="BB44:BB110">AI44:AI110</f>
        <v>179.02</v>
      </c>
      <c r="BC44" s="56">
        <f t="shared" ref="BC44:BC68" si="3">AY44*BB44</f>
        <v>0</v>
      </c>
      <c r="BD44" s="52" cm="1">
        <f t="array" ref="BD44:BD110">AK44:AK110</f>
        <v>0</v>
      </c>
      <c r="BE44" s="56">
        <f>AY44*BD44</f>
        <v>0</v>
      </c>
      <c r="BF44" s="56">
        <f>IF(AND(AV31&lt;TTHH!$D21,AV31&lt;&gt;0),TTHH!$H21,0)</f>
        <v>0</v>
      </c>
      <c r="BJ44" s="52" t="s">
        <v>86</v>
      </c>
      <c r="BK44" s="62">
        <v>0</v>
      </c>
      <c r="BL44" s="62">
        <f>('Carga y Reparto'!P88/TTHH!C117)*100</f>
        <v>0</v>
      </c>
      <c r="BM44" s="66"/>
      <c r="BN44" s="56">
        <f>BK44+BM44</f>
        <v>0</v>
      </c>
      <c r="BO44" s="56">
        <f>IFERROR(BN44/'Carga y Reparto'!Q88,0)</f>
        <v>0</v>
      </c>
      <c r="BP44" s="52">
        <f>TTHH!C117</f>
        <v>124.6</v>
      </c>
      <c r="BS44" s="52" t="s">
        <v>20</v>
      </c>
      <c r="BT44" s="56" cm="1">
        <f t="array" ref="BT44:BT68">BN51:BN75</f>
        <v>0</v>
      </c>
      <c r="BU44" s="52" cm="1">
        <f t="array" ref="BU44:BU68">AZ44:AZ68</f>
        <v>9.3000000000000007</v>
      </c>
      <c r="BV44" s="56">
        <f>BT44*BU44</f>
        <v>0</v>
      </c>
      <c r="BW44" s="52" cm="1">
        <f t="array" ref="BW44:BW68">BB44:BB68</f>
        <v>179.02</v>
      </c>
      <c r="BX44" s="56">
        <f t="shared" ref="BX44:BX68" si="4">BT44*BW44</f>
        <v>0</v>
      </c>
      <c r="BY44" s="52" cm="1">
        <f t="array" ref="BY44:BY68">BD44:BD68</f>
        <v>0</v>
      </c>
      <c r="BZ44" s="56">
        <f>BT44*BY44</f>
        <v>0</v>
      </c>
      <c r="CA44" s="56">
        <f>IF(AND(BO51&lt;TTHH!$D21,BO51&lt;&gt;0),TTHH!$H21,0)</f>
        <v>0</v>
      </c>
      <c r="CE44" s="52" t="s">
        <v>20</v>
      </c>
      <c r="CF44" s="56" cm="1">
        <f t="array" ref="CF44:CF68">BN51:BN75</f>
        <v>0</v>
      </c>
      <c r="CG44" s="52" cm="1">
        <f t="array" ref="CG44:CG110">BU44:BU110</f>
        <v>9.3000000000000007</v>
      </c>
      <c r="CH44" s="56">
        <f>CF44*CG44</f>
        <v>0</v>
      </c>
      <c r="CI44" s="52" cm="1">
        <f t="array" ref="CI44:CI110">BW44:BW110</f>
        <v>179.02</v>
      </c>
      <c r="CJ44" s="56">
        <f t="shared" ref="CJ44:CJ68" si="5">CF44*CI44</f>
        <v>0</v>
      </c>
      <c r="CK44" s="52" cm="1">
        <f t="array" ref="CK44:CK110">BY44:BY110</f>
        <v>0</v>
      </c>
      <c r="CL44" s="56">
        <f>CF44*CK44</f>
        <v>0</v>
      </c>
      <c r="CM44" s="56">
        <f>IF(AND(BO51&lt;TTHH!$D21,BO51&lt;&gt;0),TTHH!$H21,0)</f>
        <v>0</v>
      </c>
    </row>
    <row r="45" spans="5:91" x14ac:dyDescent="0.3">
      <c r="E45" s="52" t="s">
        <v>38</v>
      </c>
      <c r="F45" s="62">
        <v>0</v>
      </c>
      <c r="G45" s="64">
        <f>('Carga y Reparto'!P50/TTHH!C35)</f>
        <v>0</v>
      </c>
      <c r="H45" s="65"/>
      <c r="I45" s="56">
        <f>H45*TTHH!C35*'Condición Día D'!$J$8</f>
        <v>0</v>
      </c>
      <c r="J45" s="32">
        <f>I45/'Condición Día D'!$J$8</f>
        <v>0</v>
      </c>
      <c r="L45" s="52" t="s">
        <v>21</v>
      </c>
      <c r="M45" s="56">
        <v>251.63749999999999</v>
      </c>
      <c r="N45" s="52">
        <v>0.91</v>
      </c>
      <c r="O45" s="56">
        <f t="shared" ref="O45:O68" si="6">M45*N45</f>
        <v>228.99012500000001</v>
      </c>
      <c r="P45" s="52">
        <v>157.12</v>
      </c>
      <c r="Q45" s="56">
        <f t="shared" si="1"/>
        <v>39537.284</v>
      </c>
      <c r="R45" s="52">
        <v>-5.15</v>
      </c>
      <c r="S45" s="56">
        <f t="shared" ref="S45:S68" si="7">M45*R45</f>
        <v>-1295.933125</v>
      </c>
      <c r="T45" s="56">
        <f>IF(AND(J32&lt;TTHH!$D22,'Análisis Inundación'!J32&lt;&gt;0),TTHH!$H22,0)</f>
        <v>0</v>
      </c>
      <c r="X45" s="52" t="s">
        <v>38</v>
      </c>
      <c r="Y45" s="62">
        <v>0</v>
      </c>
      <c r="Z45" s="64">
        <f>(J45/TTHH!$C35)</f>
        <v>0</v>
      </c>
      <c r="AA45" s="65">
        <v>1</v>
      </c>
      <c r="AB45" s="56">
        <f>AA45*TTHH!$C35*'Condición Día D'!$J$8</f>
        <v>622.89250000000004</v>
      </c>
      <c r="AC45" s="32">
        <f>AB45/'Condición Día D'!$J$8</f>
        <v>607.70000000000005</v>
      </c>
      <c r="AE45" s="52" t="s">
        <v>21</v>
      </c>
      <c r="AF45" s="56">
        <v>251.63749999999999</v>
      </c>
      <c r="AG45" s="52">
        <v>0.91</v>
      </c>
      <c r="AH45" s="56">
        <f t="shared" ref="AH45:AH68" si="8">AF45*AG45</f>
        <v>228.99012500000001</v>
      </c>
      <c r="AI45" s="52">
        <v>157.12</v>
      </c>
      <c r="AJ45" s="56">
        <f t="shared" si="2"/>
        <v>39537.284</v>
      </c>
      <c r="AK45" s="52">
        <v>-5.15</v>
      </c>
      <c r="AL45" s="56">
        <f t="shared" ref="AL45:AL68" si="9">AF45*AK45</f>
        <v>-1295.933125</v>
      </c>
      <c r="AM45" s="56">
        <f>IF(AND(AC32&lt;TTHH!$D22,AC32&lt;&gt;0),TTHH!$H22,0)</f>
        <v>0</v>
      </c>
      <c r="AO45" s="65">
        <v>1</v>
      </c>
      <c r="AQ45" s="52" t="s">
        <v>38</v>
      </c>
      <c r="AR45" s="62">
        <v>0</v>
      </c>
      <c r="AS45" s="64">
        <f>(AV45/TTHH!$C35)</f>
        <v>1</v>
      </c>
      <c r="AT45" s="65">
        <v>1</v>
      </c>
      <c r="AU45" s="56">
        <f>AT45*TTHH!$C35*'Condición Día D'!$J$8</f>
        <v>622.89250000000004</v>
      </c>
      <c r="AV45" s="32">
        <f>AU45/'Condición Día D'!$J$8</f>
        <v>607.70000000000005</v>
      </c>
      <c r="AX45" s="52" t="s">
        <v>21</v>
      </c>
      <c r="AY45" s="56">
        <v>251.63749999999999</v>
      </c>
      <c r="AZ45" s="52">
        <v>0.91</v>
      </c>
      <c r="BA45" s="56">
        <f t="shared" ref="BA45:BA68" si="10">AY45*AZ45</f>
        <v>228.99012500000001</v>
      </c>
      <c r="BB45" s="52">
        <v>157.12</v>
      </c>
      <c r="BC45" s="56">
        <f t="shared" si="3"/>
        <v>39537.284</v>
      </c>
      <c r="BD45" s="52">
        <v>-5.15</v>
      </c>
      <c r="BE45" s="56">
        <f t="shared" ref="BE45:BE68" si="11">AY45*BD45</f>
        <v>-1295.933125</v>
      </c>
      <c r="BF45" s="56">
        <f>IF(AND(AV32&lt;TTHH!$D22,AV32&lt;&gt;0),TTHH!$H22,0)</f>
        <v>0</v>
      </c>
      <c r="BJ45" s="52" t="s">
        <v>87</v>
      </c>
      <c r="BK45" s="62">
        <v>0</v>
      </c>
      <c r="BL45" s="62">
        <f>('Carga y Reparto'!P89/TTHH!C118)*100</f>
        <v>0</v>
      </c>
      <c r="BM45" s="66"/>
      <c r="BN45" s="56">
        <f>BK45+BM45</f>
        <v>0</v>
      </c>
      <c r="BO45" s="56">
        <f>IFERROR(BN45/'Carga y Reparto'!Q89,0)</f>
        <v>0</v>
      </c>
      <c r="BP45" s="52">
        <f>TTHH!C118</f>
        <v>35</v>
      </c>
      <c r="BS45" s="52" t="s">
        <v>21</v>
      </c>
      <c r="BT45" s="56">
        <v>251.63749999999999</v>
      </c>
      <c r="BU45" s="52">
        <v>0.91</v>
      </c>
      <c r="BV45" s="56">
        <f t="shared" ref="BV45:BV68" si="12">BT45*BU45</f>
        <v>228.99012500000001</v>
      </c>
      <c r="BW45" s="52">
        <v>157.12</v>
      </c>
      <c r="BX45" s="56">
        <f t="shared" si="4"/>
        <v>39537.284</v>
      </c>
      <c r="BY45" s="52">
        <v>-5.15</v>
      </c>
      <c r="BZ45" s="56">
        <f t="shared" ref="BZ45:BZ68" si="13">BT45*BY45</f>
        <v>-1295.933125</v>
      </c>
      <c r="CA45" s="56">
        <f>IF(AND(BO52&lt;TTHH!$D22,BO52&lt;&gt;0),TTHH!$H22,0)</f>
        <v>0</v>
      </c>
      <c r="CE45" s="52" t="s">
        <v>21</v>
      </c>
      <c r="CF45" s="56">
        <v>251.63749999999999</v>
      </c>
      <c r="CG45" s="52">
        <v>0.91</v>
      </c>
      <c r="CH45" s="56">
        <f t="shared" ref="CH45:CH68" si="14">CF45*CG45</f>
        <v>228.99012500000001</v>
      </c>
      <c r="CI45" s="52">
        <v>157.12</v>
      </c>
      <c r="CJ45" s="56">
        <f t="shared" si="5"/>
        <v>39537.284</v>
      </c>
      <c r="CK45" s="52">
        <v>-5.15</v>
      </c>
      <c r="CL45" s="56">
        <f t="shared" ref="CL45:CL68" si="15">CF45*CK45</f>
        <v>-1295.933125</v>
      </c>
      <c r="CM45" s="56">
        <f>IF(AND(BO52&lt;TTHH!$D22,BO52&lt;&gt;0),TTHH!$H22,0)</f>
        <v>0</v>
      </c>
    </row>
    <row r="46" spans="5:91" x14ac:dyDescent="0.3">
      <c r="E46" s="52" t="s">
        <v>39</v>
      </c>
      <c r="F46" s="62">
        <v>0</v>
      </c>
      <c r="G46" s="64">
        <f>('Carga y Reparto'!P51/TTHH!C36)</f>
        <v>0</v>
      </c>
      <c r="H46" s="65">
        <v>1</v>
      </c>
      <c r="I46" s="56">
        <f>H46*TTHH!C36*'Condición Día D'!$J$8</f>
        <v>1023.0524999999999</v>
      </c>
      <c r="J46" s="32">
        <f>I46/'Condición Día D'!$J$8</f>
        <v>998.1</v>
      </c>
      <c r="L46" s="52" t="s">
        <v>25</v>
      </c>
      <c r="M46" s="56">
        <v>0</v>
      </c>
      <c r="N46" s="52">
        <v>0.91</v>
      </c>
      <c r="O46" s="56">
        <f t="shared" si="6"/>
        <v>0</v>
      </c>
      <c r="P46" s="52">
        <v>157.12</v>
      </c>
      <c r="Q46" s="56">
        <f t="shared" si="1"/>
        <v>0</v>
      </c>
      <c r="R46" s="52">
        <v>5.15</v>
      </c>
      <c r="S46" s="56">
        <f t="shared" si="7"/>
        <v>0</v>
      </c>
      <c r="T46" s="56">
        <f>IF(AND(J33&lt;TTHH!$D23,'Análisis Inundación'!J33&lt;&gt;0),TTHH!$H23,0)</f>
        <v>0</v>
      </c>
      <c r="X46" s="52" t="s">
        <v>39</v>
      </c>
      <c r="Y46" s="62">
        <v>1023.0524999999999</v>
      </c>
      <c r="Z46" s="64">
        <f>(J46/TTHH!$C36)</f>
        <v>1</v>
      </c>
      <c r="AA46" s="65">
        <v>1</v>
      </c>
      <c r="AB46" s="56">
        <f>AA46*TTHH!$C36*'Condición Día D'!$J$8</f>
        <v>1023.0524999999999</v>
      </c>
      <c r="AC46" s="32">
        <f>AB46/'Condición Día D'!$J$8</f>
        <v>998.1</v>
      </c>
      <c r="AE46" s="52" t="s">
        <v>25</v>
      </c>
      <c r="AF46" s="56">
        <v>251.63749999999999</v>
      </c>
      <c r="AG46" s="52">
        <v>0.91</v>
      </c>
      <c r="AH46" s="56">
        <f t="shared" si="8"/>
        <v>228.99012500000001</v>
      </c>
      <c r="AI46" s="52">
        <v>157.12</v>
      </c>
      <c r="AJ46" s="56">
        <f t="shared" si="2"/>
        <v>39537.284</v>
      </c>
      <c r="AK46" s="52">
        <v>5.15</v>
      </c>
      <c r="AL46" s="56">
        <f t="shared" si="9"/>
        <v>1295.933125</v>
      </c>
      <c r="AM46" s="56">
        <f>IF(AND(AC33&lt;TTHH!$D23,AC33&lt;&gt;0),TTHH!$H23,0)</f>
        <v>0</v>
      </c>
      <c r="AO46" s="65">
        <v>1</v>
      </c>
      <c r="AQ46" s="52" t="s">
        <v>39</v>
      </c>
      <c r="AR46" s="62">
        <v>1023.0524999999999</v>
      </c>
      <c r="AS46" s="64">
        <f>(AV46/TTHH!$C36)</f>
        <v>1</v>
      </c>
      <c r="AT46" s="65">
        <v>1</v>
      </c>
      <c r="AU46" s="56">
        <f>AT46*TTHH!$C36*'Condición Día D'!$J$8</f>
        <v>1023.0524999999999</v>
      </c>
      <c r="AV46" s="32">
        <f>AU46/'Condición Día D'!$J$8</f>
        <v>998.1</v>
      </c>
      <c r="AX46" s="52" t="s">
        <v>25</v>
      </c>
      <c r="AY46" s="56">
        <v>0</v>
      </c>
      <c r="AZ46" s="52">
        <v>0.91</v>
      </c>
      <c r="BA46" s="56">
        <f t="shared" si="10"/>
        <v>0</v>
      </c>
      <c r="BB46" s="52">
        <v>157.12</v>
      </c>
      <c r="BC46" s="56">
        <f t="shared" si="3"/>
        <v>0</v>
      </c>
      <c r="BD46" s="52">
        <v>5.15</v>
      </c>
      <c r="BE46" s="56">
        <f t="shared" si="11"/>
        <v>0</v>
      </c>
      <c r="BF46" s="56">
        <f>IF(AND(AV33&lt;TTHH!$D23,AV33&lt;&gt;0),TTHH!$H23,0)</f>
        <v>0</v>
      </c>
      <c r="BJ46" s="52" t="s">
        <v>88</v>
      </c>
      <c r="BK46" s="62">
        <v>0</v>
      </c>
      <c r="BL46" s="62">
        <f>('Carga y Reparto'!P90/TTHH!C119)*100</f>
        <v>0</v>
      </c>
      <c r="BM46" s="66"/>
      <c r="BN46" s="56">
        <f>BK46+BM46</f>
        <v>0</v>
      </c>
      <c r="BO46" s="56">
        <f>IFERROR(BN46/'Carga y Reparto'!Q90,0)</f>
        <v>0</v>
      </c>
      <c r="BP46" s="52">
        <f>TTHH!C119</f>
        <v>17.399999999999999</v>
      </c>
      <c r="BS46" s="52" t="s">
        <v>25</v>
      </c>
      <c r="BT46" s="56">
        <v>0</v>
      </c>
      <c r="BU46" s="52">
        <v>0.91</v>
      </c>
      <c r="BV46" s="56">
        <f t="shared" si="12"/>
        <v>0</v>
      </c>
      <c r="BW46" s="52">
        <v>157.12</v>
      </c>
      <c r="BX46" s="56">
        <f t="shared" si="4"/>
        <v>0</v>
      </c>
      <c r="BY46" s="52">
        <v>5.15</v>
      </c>
      <c r="BZ46" s="56">
        <f t="shared" si="13"/>
        <v>0</v>
      </c>
      <c r="CA46" s="56">
        <f>IF(AND(BO53&lt;TTHH!$D23,BO53&lt;&gt;0),TTHH!$H23,0)</f>
        <v>0</v>
      </c>
      <c r="CE46" s="52" t="s">
        <v>25</v>
      </c>
      <c r="CF46" s="56">
        <v>0</v>
      </c>
      <c r="CG46" s="52">
        <v>0.91</v>
      </c>
      <c r="CH46" s="56">
        <f t="shared" si="14"/>
        <v>0</v>
      </c>
      <c r="CI46" s="52">
        <v>157.12</v>
      </c>
      <c r="CJ46" s="56">
        <f t="shared" si="5"/>
        <v>0</v>
      </c>
      <c r="CK46" s="52">
        <v>5.15</v>
      </c>
      <c r="CL46" s="56">
        <f t="shared" si="15"/>
        <v>0</v>
      </c>
      <c r="CM46" s="56">
        <f>IF(AND(BO53&lt;TTHH!$D23,BO53&lt;&gt;0),TTHH!$H23,0)</f>
        <v>0</v>
      </c>
    </row>
    <row r="47" spans="5:91" x14ac:dyDescent="0.3">
      <c r="E47" s="52" t="s">
        <v>40</v>
      </c>
      <c r="F47" s="62">
        <v>0</v>
      </c>
      <c r="G47" s="64">
        <f>('Carga y Reparto'!P52/TTHH!C37)</f>
        <v>0</v>
      </c>
      <c r="H47" s="65"/>
      <c r="I47" s="56">
        <f>H47*TTHH!C37*'Condición Día D'!$J$8</f>
        <v>0</v>
      </c>
      <c r="J47" s="32">
        <f>I47/'Condición Día D'!$J$8</f>
        <v>0</v>
      </c>
      <c r="L47" s="52" t="s">
        <v>23</v>
      </c>
      <c r="M47" s="56">
        <v>1093.5725</v>
      </c>
      <c r="N47" s="52">
        <v>7.19</v>
      </c>
      <c r="O47" s="56">
        <f t="shared" si="6"/>
        <v>7862.7862750000004</v>
      </c>
      <c r="P47" s="52">
        <v>158.83000000000001</v>
      </c>
      <c r="Q47" s="56">
        <f t="shared" si="1"/>
        <v>173692.12017500002</v>
      </c>
      <c r="R47" s="52">
        <v>-12.75</v>
      </c>
      <c r="S47" s="56">
        <f t="shared" si="7"/>
        <v>-13943.049375000001</v>
      </c>
      <c r="T47" s="56">
        <f>IF(AND(J34&lt;TTHH!$D24,'Análisis Inundación'!J34&lt;&gt;0),TTHH!$H24,0)</f>
        <v>0</v>
      </c>
      <c r="X47" s="52" t="s">
        <v>40</v>
      </c>
      <c r="Y47" s="62">
        <v>0</v>
      </c>
      <c r="Z47" s="64">
        <f>(J47/TTHH!$C37)</f>
        <v>0</v>
      </c>
      <c r="AA47" s="65"/>
      <c r="AB47" s="56">
        <f>AA47*TTHH!$C37*'Condición Día D'!$J$8</f>
        <v>0</v>
      </c>
      <c r="AC47" s="32">
        <f>AB47/'Condición Día D'!$J$8</f>
        <v>0</v>
      </c>
      <c r="AE47" s="52" t="s">
        <v>23</v>
      </c>
      <c r="AF47" s="56">
        <v>1093.5725</v>
      </c>
      <c r="AG47" s="52">
        <v>7.19</v>
      </c>
      <c r="AH47" s="56">
        <f t="shared" si="8"/>
        <v>7862.7862750000004</v>
      </c>
      <c r="AI47" s="52">
        <v>158.83000000000001</v>
      </c>
      <c r="AJ47" s="56">
        <f t="shared" si="2"/>
        <v>173692.12017500002</v>
      </c>
      <c r="AK47" s="52">
        <v>-12.75</v>
      </c>
      <c r="AL47" s="56">
        <f t="shared" si="9"/>
        <v>-13943.049375000001</v>
      </c>
      <c r="AM47" s="56">
        <f>IF(AND(AC34&lt;TTHH!$D24,AC34&lt;&gt;0),TTHH!$H24,0)</f>
        <v>0</v>
      </c>
      <c r="AO47" s="65">
        <v>1</v>
      </c>
      <c r="AQ47" s="52" t="s">
        <v>40</v>
      </c>
      <c r="AR47" s="62">
        <v>0</v>
      </c>
      <c r="AS47" s="64">
        <f>(AV47/TTHH!$C37)</f>
        <v>1</v>
      </c>
      <c r="AT47" s="65">
        <v>1</v>
      </c>
      <c r="AU47" s="56">
        <f>AT47*TTHH!$C37*'Condición Día D'!$J$8</f>
        <v>1023.0524999999999</v>
      </c>
      <c r="AV47" s="32">
        <f>AU47/'Condición Día D'!$J$8</f>
        <v>998.1</v>
      </c>
      <c r="AX47" s="52" t="s">
        <v>23</v>
      </c>
      <c r="AY47" s="56">
        <v>1093.5725</v>
      </c>
      <c r="AZ47" s="52">
        <v>7.19</v>
      </c>
      <c r="BA47" s="56">
        <f t="shared" si="10"/>
        <v>7862.7862750000004</v>
      </c>
      <c r="BB47" s="52">
        <v>158.83000000000001</v>
      </c>
      <c r="BC47" s="56">
        <f t="shared" si="3"/>
        <v>173692.12017500002</v>
      </c>
      <c r="BD47" s="52">
        <v>-12.75</v>
      </c>
      <c r="BE47" s="56">
        <f t="shared" si="11"/>
        <v>-13943.049375000001</v>
      </c>
      <c r="BF47" s="56">
        <f>IF(AND(AV34&lt;TTHH!$D24,AV34&lt;&gt;0),TTHH!$H24,0)</f>
        <v>0</v>
      </c>
      <c r="BJ47" s="52" t="s">
        <v>89</v>
      </c>
      <c r="BK47" s="62">
        <v>0</v>
      </c>
      <c r="BL47" s="62">
        <f>('Carga y Reparto'!P91/TTHH!C120)*100</f>
        <v>0</v>
      </c>
      <c r="BM47" s="66"/>
      <c r="BN47" s="56">
        <f>BK47+BM47</f>
        <v>0</v>
      </c>
      <c r="BO47" s="56">
        <f>IFERROR(BN47/'Carga y Reparto'!Q91,0)</f>
        <v>0</v>
      </c>
      <c r="BP47" s="52">
        <f>TTHH!C120</f>
        <v>3.1</v>
      </c>
      <c r="BS47" s="52" t="s">
        <v>23</v>
      </c>
      <c r="BT47" s="56">
        <v>1093.5725</v>
      </c>
      <c r="BU47" s="52">
        <v>7.19</v>
      </c>
      <c r="BV47" s="56">
        <f t="shared" si="12"/>
        <v>7862.7862750000004</v>
      </c>
      <c r="BW47" s="52">
        <v>158.83000000000001</v>
      </c>
      <c r="BX47" s="56">
        <f t="shared" si="4"/>
        <v>173692.12017500002</v>
      </c>
      <c r="BY47" s="52">
        <v>-12.75</v>
      </c>
      <c r="BZ47" s="56">
        <f t="shared" si="13"/>
        <v>-13943.049375000001</v>
      </c>
      <c r="CA47" s="56">
        <f>IF(AND(BO54&lt;TTHH!$D24,BO54&lt;&gt;0),TTHH!$H24,0)</f>
        <v>0</v>
      </c>
      <c r="CE47" s="52" t="s">
        <v>23</v>
      </c>
      <c r="CF47" s="56">
        <v>1093.5725</v>
      </c>
      <c r="CG47" s="52">
        <v>7.19</v>
      </c>
      <c r="CH47" s="56">
        <f t="shared" si="14"/>
        <v>7862.7862750000004</v>
      </c>
      <c r="CI47" s="52">
        <v>158.83000000000001</v>
      </c>
      <c r="CJ47" s="56">
        <f t="shared" si="5"/>
        <v>173692.12017500002</v>
      </c>
      <c r="CK47" s="52">
        <v>-12.75</v>
      </c>
      <c r="CL47" s="56">
        <f t="shared" si="15"/>
        <v>-13943.049375000001</v>
      </c>
      <c r="CM47" s="56">
        <f>IF(AND(BO54&lt;TTHH!$D24,BO54&lt;&gt;0),TTHH!$H24,0)</f>
        <v>0</v>
      </c>
    </row>
    <row r="48" spans="5:91" x14ac:dyDescent="0.3">
      <c r="E48" s="52" t="s">
        <v>41</v>
      </c>
      <c r="F48" s="62">
        <v>0</v>
      </c>
      <c r="G48" s="64">
        <f>('Carga y Reparto'!P53/TTHH!C38)</f>
        <v>0</v>
      </c>
      <c r="H48" s="65">
        <v>1</v>
      </c>
      <c r="I48" s="56">
        <f>H48*TTHH!C38*'Condición Día D'!$J$8</f>
        <v>445.97749999999996</v>
      </c>
      <c r="J48" s="32">
        <f>I48/'Condición Día D'!$J$8</f>
        <v>435.1</v>
      </c>
      <c r="L48" s="52" t="s">
        <v>26</v>
      </c>
      <c r="M48" s="56">
        <v>0</v>
      </c>
      <c r="N48" s="52">
        <v>7.19</v>
      </c>
      <c r="O48" s="56">
        <f t="shared" si="6"/>
        <v>0</v>
      </c>
      <c r="P48" s="52">
        <v>158.83000000000001</v>
      </c>
      <c r="Q48" s="56">
        <f t="shared" si="1"/>
        <v>0</v>
      </c>
      <c r="R48" s="52">
        <v>12.75</v>
      </c>
      <c r="S48" s="56">
        <f t="shared" si="7"/>
        <v>0</v>
      </c>
      <c r="T48" s="56">
        <f>IF(AND(J35&lt;TTHH!$D25,'Análisis Inundación'!J35&lt;&gt;0),TTHH!$H25,0)</f>
        <v>0</v>
      </c>
      <c r="X48" s="52" t="s">
        <v>41</v>
      </c>
      <c r="Y48" s="62">
        <v>445.97749999999996</v>
      </c>
      <c r="Z48" s="64">
        <f>(J48/TTHH!$C38)</f>
        <v>1</v>
      </c>
      <c r="AA48" s="65">
        <v>1</v>
      </c>
      <c r="AB48" s="56">
        <f>AA48*TTHH!$C38*'Condición Día D'!$J$8</f>
        <v>445.97749999999996</v>
      </c>
      <c r="AC48" s="32">
        <f>AB48/'Condición Día D'!$J$8</f>
        <v>435.1</v>
      </c>
      <c r="AE48" s="52" t="s">
        <v>26</v>
      </c>
      <c r="AF48" s="56">
        <v>0</v>
      </c>
      <c r="AG48" s="52">
        <v>7.19</v>
      </c>
      <c r="AH48" s="56">
        <f t="shared" si="8"/>
        <v>0</v>
      </c>
      <c r="AI48" s="52">
        <v>158.83000000000001</v>
      </c>
      <c r="AJ48" s="56">
        <f t="shared" si="2"/>
        <v>0</v>
      </c>
      <c r="AK48" s="52">
        <v>12.75</v>
      </c>
      <c r="AL48" s="56">
        <f t="shared" si="9"/>
        <v>0</v>
      </c>
      <c r="AM48" s="56">
        <f>IF(AND(AC35&lt;TTHH!$D25,AC35&lt;&gt;0),TTHH!$H25,0)</f>
        <v>0</v>
      </c>
      <c r="AO48" s="65">
        <v>1</v>
      </c>
      <c r="AQ48" s="52" t="s">
        <v>41</v>
      </c>
      <c r="AR48" s="62">
        <v>445.97749999999996</v>
      </c>
      <c r="AS48" s="64">
        <f>(AV48/TTHH!$C38)</f>
        <v>1</v>
      </c>
      <c r="AT48" s="65">
        <v>1</v>
      </c>
      <c r="AU48" s="56">
        <f>AT48*TTHH!$C38*'Condición Día D'!$J$8</f>
        <v>445.97749999999996</v>
      </c>
      <c r="AV48" s="32">
        <f>AU48/'Condición Día D'!$J$8</f>
        <v>435.1</v>
      </c>
      <c r="AX48" s="52" t="s">
        <v>26</v>
      </c>
      <c r="AY48" s="56">
        <v>0</v>
      </c>
      <c r="AZ48" s="52">
        <v>7.19</v>
      </c>
      <c r="BA48" s="56">
        <f t="shared" si="10"/>
        <v>0</v>
      </c>
      <c r="BB48" s="52">
        <v>158.83000000000001</v>
      </c>
      <c r="BC48" s="56">
        <f t="shared" si="3"/>
        <v>0</v>
      </c>
      <c r="BD48" s="52">
        <v>12.75</v>
      </c>
      <c r="BE48" s="56">
        <f t="shared" si="11"/>
        <v>0</v>
      </c>
      <c r="BF48" s="56">
        <f>IF(AND(AV35&lt;TTHH!$D25,AV35&lt;&gt;0),TTHH!$H25,0)</f>
        <v>0</v>
      </c>
      <c r="BS48" s="52" t="s">
        <v>26</v>
      </c>
      <c r="BT48" s="56">
        <v>0</v>
      </c>
      <c r="BU48" s="52">
        <v>7.19</v>
      </c>
      <c r="BV48" s="56">
        <f t="shared" si="12"/>
        <v>0</v>
      </c>
      <c r="BW48" s="52">
        <v>158.83000000000001</v>
      </c>
      <c r="BX48" s="56">
        <f t="shared" si="4"/>
        <v>0</v>
      </c>
      <c r="BY48" s="52">
        <v>12.75</v>
      </c>
      <c r="BZ48" s="56">
        <f t="shared" si="13"/>
        <v>0</v>
      </c>
      <c r="CA48" s="56">
        <f>IF(AND(BO55&lt;TTHH!$D25,BO55&lt;&gt;0),TTHH!$H25,0)</f>
        <v>0</v>
      </c>
      <c r="CE48" s="52" t="s">
        <v>26</v>
      </c>
      <c r="CF48" s="56">
        <v>0</v>
      </c>
      <c r="CG48" s="52">
        <v>7.19</v>
      </c>
      <c r="CH48" s="56">
        <f t="shared" si="14"/>
        <v>0</v>
      </c>
      <c r="CI48" s="52">
        <v>158.83000000000001</v>
      </c>
      <c r="CJ48" s="56">
        <f t="shared" si="5"/>
        <v>0</v>
      </c>
      <c r="CK48" s="52">
        <v>12.75</v>
      </c>
      <c r="CL48" s="56">
        <f t="shared" si="15"/>
        <v>0</v>
      </c>
      <c r="CM48" s="56">
        <f>IF(AND(BO55&lt;TTHH!$D25,BO55&lt;&gt;0),TTHH!$H25,0)</f>
        <v>0</v>
      </c>
    </row>
    <row r="49" spans="5:91" x14ac:dyDescent="0.3">
      <c r="E49" s="52" t="s">
        <v>42</v>
      </c>
      <c r="F49" s="62">
        <v>0</v>
      </c>
      <c r="G49" s="64">
        <f>('Carga y Reparto'!P54/TTHH!C39)</f>
        <v>0</v>
      </c>
      <c r="H49" s="65"/>
      <c r="I49" s="56">
        <f>H49*TTHH!C39*'Condición Día D'!$J$8</f>
        <v>0</v>
      </c>
      <c r="J49" s="32">
        <f>I49/'Condición Día D'!$J$8</f>
        <v>0</v>
      </c>
      <c r="L49" s="52" t="s">
        <v>22</v>
      </c>
      <c r="M49" s="56">
        <v>622.89250000000004</v>
      </c>
      <c r="N49" s="52">
        <v>1.24</v>
      </c>
      <c r="O49" s="56">
        <f t="shared" si="6"/>
        <v>772.38670000000002</v>
      </c>
      <c r="P49" s="52">
        <v>132.91</v>
      </c>
      <c r="Q49" s="56">
        <f t="shared" si="1"/>
        <v>82788.642175000001</v>
      </c>
      <c r="R49" s="52">
        <v>-7.49</v>
      </c>
      <c r="S49" s="56">
        <f t="shared" si="7"/>
        <v>-4665.464825</v>
      </c>
      <c r="T49" s="56">
        <f>IF(AND(J36&lt;TTHH!$D26,'Análisis Inundación'!J36&lt;&gt;0),TTHH!$H26,0)</f>
        <v>0</v>
      </c>
      <c r="X49" s="52" t="s">
        <v>42</v>
      </c>
      <c r="Y49" s="62">
        <v>0</v>
      </c>
      <c r="Z49" s="64">
        <f>(J49/TTHH!$C39)</f>
        <v>0</v>
      </c>
      <c r="AA49" s="65">
        <v>1</v>
      </c>
      <c r="AB49" s="56">
        <f>AA49*TTHH!$C39*'Condición Día D'!$J$8</f>
        <v>445.97749999999996</v>
      </c>
      <c r="AC49" s="32">
        <f>AB49/'Condición Día D'!$J$8</f>
        <v>435.1</v>
      </c>
      <c r="AE49" s="52" t="s">
        <v>22</v>
      </c>
      <c r="AF49" s="56">
        <v>622.89250000000004</v>
      </c>
      <c r="AG49" s="52">
        <v>1.24</v>
      </c>
      <c r="AH49" s="56">
        <f t="shared" si="8"/>
        <v>772.38670000000002</v>
      </c>
      <c r="AI49" s="52">
        <v>132.91</v>
      </c>
      <c r="AJ49" s="56">
        <f t="shared" si="2"/>
        <v>82788.642175000001</v>
      </c>
      <c r="AK49" s="52">
        <v>-7.49</v>
      </c>
      <c r="AL49" s="56">
        <f t="shared" si="9"/>
        <v>-4665.464825</v>
      </c>
      <c r="AM49" s="56">
        <f>IF(AND(AC36&lt;TTHH!$D26,AC36&lt;&gt;0),TTHH!$H26,0)</f>
        <v>0</v>
      </c>
      <c r="AO49" s="65">
        <v>1</v>
      </c>
      <c r="AQ49" s="52" t="s">
        <v>42</v>
      </c>
      <c r="AR49" s="62">
        <v>0</v>
      </c>
      <c r="AS49" s="64">
        <f>(AV49/TTHH!$C39)</f>
        <v>1</v>
      </c>
      <c r="AT49" s="65">
        <v>1</v>
      </c>
      <c r="AU49" s="56">
        <f>AT49*TTHH!$C39*'Condición Día D'!$J$8</f>
        <v>445.97749999999996</v>
      </c>
      <c r="AV49" s="32">
        <f>AU49/'Condición Día D'!$J$8</f>
        <v>435.1</v>
      </c>
      <c r="AX49" s="52" t="s">
        <v>22</v>
      </c>
      <c r="AY49" s="56">
        <v>622.89250000000004</v>
      </c>
      <c r="AZ49" s="52">
        <v>1.24</v>
      </c>
      <c r="BA49" s="56">
        <f t="shared" si="10"/>
        <v>772.38670000000002</v>
      </c>
      <c r="BB49" s="52">
        <v>132.91</v>
      </c>
      <c r="BC49" s="56">
        <f t="shared" si="3"/>
        <v>82788.642175000001</v>
      </c>
      <c r="BD49" s="52">
        <v>-7.49</v>
      </c>
      <c r="BE49" s="56">
        <f t="shared" si="11"/>
        <v>-4665.464825</v>
      </c>
      <c r="BF49" s="56">
        <f>IF(AND(AV36&lt;TTHH!$D26,AV36&lt;&gt;0),TTHH!$H26,0)</f>
        <v>0</v>
      </c>
      <c r="BS49" s="52" t="s">
        <v>22</v>
      </c>
      <c r="BT49" s="56">
        <v>622.89250000000004</v>
      </c>
      <c r="BU49" s="52">
        <v>1.24</v>
      </c>
      <c r="BV49" s="56">
        <f t="shared" si="12"/>
        <v>772.38670000000002</v>
      </c>
      <c r="BW49" s="52">
        <v>132.91</v>
      </c>
      <c r="BX49" s="56">
        <f t="shared" si="4"/>
        <v>82788.642175000001</v>
      </c>
      <c r="BY49" s="52">
        <v>-7.49</v>
      </c>
      <c r="BZ49" s="56">
        <f t="shared" si="13"/>
        <v>-4665.464825</v>
      </c>
      <c r="CA49" s="56">
        <f>IF(AND(BO56&lt;TTHH!$D26,BO56&lt;&gt;0),TTHH!$H26,0)</f>
        <v>0</v>
      </c>
      <c r="CE49" s="52" t="s">
        <v>22</v>
      </c>
      <c r="CF49" s="56">
        <v>622.89250000000004</v>
      </c>
      <c r="CG49" s="52">
        <v>1.24</v>
      </c>
      <c r="CH49" s="56">
        <f t="shared" si="14"/>
        <v>772.38670000000002</v>
      </c>
      <c r="CI49" s="52">
        <v>132.91</v>
      </c>
      <c r="CJ49" s="56">
        <f t="shared" si="5"/>
        <v>82788.642175000001</v>
      </c>
      <c r="CK49" s="52">
        <v>-7.49</v>
      </c>
      <c r="CL49" s="56">
        <f t="shared" si="15"/>
        <v>-4665.464825</v>
      </c>
      <c r="CM49" s="56">
        <f>IF(AND(BO56&lt;TTHH!$D26,BO56&lt;&gt;0),TTHH!$H26,0)</f>
        <v>0</v>
      </c>
    </row>
    <row r="50" spans="5:91" x14ac:dyDescent="0.3">
      <c r="E50" s="52" t="s">
        <v>43</v>
      </c>
      <c r="F50" s="62">
        <v>0</v>
      </c>
      <c r="G50" s="64">
        <f>('Carga y Reparto'!P55/TTHH!C40)</f>
        <v>0</v>
      </c>
      <c r="H50" s="65">
        <v>1</v>
      </c>
      <c r="I50" s="56">
        <f>H50*TTHH!C40*'Condición Día D'!$J$8</f>
        <v>865.30499999999995</v>
      </c>
      <c r="J50" s="32">
        <f>I50/'Condición Día D'!$J$8</f>
        <v>844.2</v>
      </c>
      <c r="L50" s="52" t="s">
        <v>31</v>
      </c>
      <c r="M50" s="56">
        <v>0</v>
      </c>
      <c r="N50" s="52">
        <v>1.24</v>
      </c>
      <c r="O50" s="56">
        <f t="shared" si="6"/>
        <v>0</v>
      </c>
      <c r="P50" s="52">
        <v>132.91</v>
      </c>
      <c r="Q50" s="56">
        <f t="shared" si="1"/>
        <v>0</v>
      </c>
      <c r="R50" s="52">
        <v>7.49</v>
      </c>
      <c r="S50" s="56">
        <f t="shared" si="7"/>
        <v>0</v>
      </c>
      <c r="T50" s="56">
        <f>IF(AND(J37&lt;TTHH!$D27,'Análisis Inundación'!J37&lt;&gt;0),TTHH!$H27,0)</f>
        <v>0</v>
      </c>
      <c r="X50" s="52" t="s">
        <v>43</v>
      </c>
      <c r="Y50" s="62">
        <v>865.30499999999995</v>
      </c>
      <c r="Z50" s="64">
        <f>(J50/TTHH!$C40)</f>
        <v>1</v>
      </c>
      <c r="AA50" s="65">
        <v>1</v>
      </c>
      <c r="AB50" s="56">
        <f>AA50*TTHH!$C40*'Condición Día D'!$J$8</f>
        <v>865.30499999999995</v>
      </c>
      <c r="AC50" s="32">
        <f>AB50/'Condición Día D'!$J$8</f>
        <v>844.2</v>
      </c>
      <c r="AE50" s="52" t="s">
        <v>31</v>
      </c>
      <c r="AF50" s="56">
        <v>622.89250000000004</v>
      </c>
      <c r="AG50" s="52">
        <v>1.24</v>
      </c>
      <c r="AH50" s="56">
        <f t="shared" si="8"/>
        <v>772.38670000000002</v>
      </c>
      <c r="AI50" s="52">
        <v>132.91</v>
      </c>
      <c r="AJ50" s="56">
        <f t="shared" si="2"/>
        <v>82788.642175000001</v>
      </c>
      <c r="AK50" s="52">
        <v>7.49</v>
      </c>
      <c r="AL50" s="56">
        <f t="shared" si="9"/>
        <v>4665.464825</v>
      </c>
      <c r="AM50" s="56">
        <f>IF(AND(AC37&lt;TTHH!$D27,AC37&lt;&gt;0),TTHH!$H27,0)</f>
        <v>0</v>
      </c>
      <c r="AO50" s="65">
        <v>1</v>
      </c>
      <c r="AQ50" s="52" t="s">
        <v>43</v>
      </c>
      <c r="AR50" s="62">
        <v>865.30499999999995</v>
      </c>
      <c r="AS50" s="64">
        <f>(AV50/TTHH!$C40)</f>
        <v>1</v>
      </c>
      <c r="AT50" s="65">
        <v>1</v>
      </c>
      <c r="AU50" s="56">
        <f>AT50*TTHH!$C40*'Condición Día D'!$J$8</f>
        <v>865.30499999999995</v>
      </c>
      <c r="AV50" s="32">
        <f>AU50/'Condición Día D'!$J$8</f>
        <v>844.2</v>
      </c>
      <c r="AX50" s="52" t="s">
        <v>31</v>
      </c>
      <c r="AY50" s="56">
        <v>0</v>
      </c>
      <c r="AZ50" s="52">
        <v>1.24</v>
      </c>
      <c r="BA50" s="56">
        <f t="shared" si="10"/>
        <v>0</v>
      </c>
      <c r="BB50" s="52">
        <v>132.91</v>
      </c>
      <c r="BC50" s="56">
        <f t="shared" si="3"/>
        <v>0</v>
      </c>
      <c r="BD50" s="52">
        <v>7.49</v>
      </c>
      <c r="BE50" s="56">
        <f t="shared" si="11"/>
        <v>0</v>
      </c>
      <c r="BF50" s="56">
        <f>IF(AND(AV37&lt;TTHH!$D27,AV37&lt;&gt;0),TTHH!$H27,0)</f>
        <v>0</v>
      </c>
      <c r="BJ50" s="54" t="s">
        <v>19</v>
      </c>
      <c r="BK50" s="52" t="s">
        <v>603</v>
      </c>
      <c r="BL50" s="52" t="s">
        <v>352</v>
      </c>
      <c r="BM50" s="52" t="s">
        <v>585</v>
      </c>
      <c r="BN50" s="52" t="s">
        <v>629</v>
      </c>
      <c r="BO50" s="29" t="s">
        <v>596</v>
      </c>
      <c r="BS50" s="52" t="s">
        <v>31</v>
      </c>
      <c r="BT50" s="56">
        <v>0</v>
      </c>
      <c r="BU50" s="52">
        <v>1.24</v>
      </c>
      <c r="BV50" s="56">
        <f t="shared" si="12"/>
        <v>0</v>
      </c>
      <c r="BW50" s="52">
        <v>132.91</v>
      </c>
      <c r="BX50" s="56">
        <f t="shared" si="4"/>
        <v>0</v>
      </c>
      <c r="BY50" s="52">
        <v>7.49</v>
      </c>
      <c r="BZ50" s="56">
        <f t="shared" si="13"/>
        <v>0</v>
      </c>
      <c r="CA50" s="56">
        <f>IF(AND(BO57&lt;TTHH!$D27,BO57&lt;&gt;0),TTHH!$H27,0)</f>
        <v>0</v>
      </c>
      <c r="CE50" s="52" t="s">
        <v>31</v>
      </c>
      <c r="CF50" s="56">
        <v>0</v>
      </c>
      <c r="CG50" s="52">
        <v>1.24</v>
      </c>
      <c r="CH50" s="56">
        <f t="shared" si="14"/>
        <v>0</v>
      </c>
      <c r="CI50" s="52">
        <v>132.91</v>
      </c>
      <c r="CJ50" s="56">
        <f t="shared" si="5"/>
        <v>0</v>
      </c>
      <c r="CK50" s="52">
        <v>7.49</v>
      </c>
      <c r="CL50" s="56">
        <f t="shared" si="15"/>
        <v>0</v>
      </c>
      <c r="CM50" s="56">
        <f>IF(AND(BO57&lt;TTHH!$D27,BO57&lt;&gt;0),TTHH!$H27,0)</f>
        <v>0</v>
      </c>
    </row>
    <row r="51" spans="5:91" x14ac:dyDescent="0.3">
      <c r="E51" s="52" t="s">
        <v>44</v>
      </c>
      <c r="F51" s="62">
        <v>0</v>
      </c>
      <c r="G51" s="64">
        <f>('Carga y Reparto'!P56/TTHH!C41)</f>
        <v>0</v>
      </c>
      <c r="H51" s="65"/>
      <c r="I51" s="56">
        <f>H51*TTHH!C41*'Condición Día D'!$J$8</f>
        <v>0</v>
      </c>
      <c r="J51" s="32">
        <f>I51/'Condición Día D'!$J$8</f>
        <v>0</v>
      </c>
      <c r="L51" s="52" t="s">
        <v>24</v>
      </c>
      <c r="M51" s="56">
        <v>1033.7124999999999</v>
      </c>
      <c r="N51" s="52">
        <v>8.9</v>
      </c>
      <c r="O51" s="56">
        <f t="shared" si="6"/>
        <v>9200.0412499999984</v>
      </c>
      <c r="P51" s="52">
        <v>130.6</v>
      </c>
      <c r="Q51" s="56">
        <f t="shared" si="1"/>
        <v>135002.85249999998</v>
      </c>
      <c r="R51" s="52">
        <v>-14.86</v>
      </c>
      <c r="S51" s="56">
        <f t="shared" si="7"/>
        <v>-15360.967749999998</v>
      </c>
      <c r="T51" s="56">
        <f>IF(AND(J38&lt;TTHH!$D28,'Análisis Inundación'!J38&lt;&gt;0),TTHH!$H28,0)</f>
        <v>0</v>
      </c>
      <c r="X51" s="52" t="s">
        <v>44</v>
      </c>
      <c r="Y51" s="62">
        <v>0</v>
      </c>
      <c r="Z51" s="64">
        <f>(J51/TTHH!$C41)</f>
        <v>0</v>
      </c>
      <c r="AA51" s="65"/>
      <c r="AB51" s="56">
        <f>AA51*TTHH!$C41*'Condición Día D'!$J$8</f>
        <v>0</v>
      </c>
      <c r="AC51" s="32">
        <f>AB51/'Condición Día D'!$J$8</f>
        <v>0</v>
      </c>
      <c r="AE51" s="52" t="s">
        <v>24</v>
      </c>
      <c r="AF51" s="56">
        <v>1033.7124999999999</v>
      </c>
      <c r="AG51" s="52">
        <v>8.9</v>
      </c>
      <c r="AH51" s="56">
        <f t="shared" si="8"/>
        <v>9200.0412499999984</v>
      </c>
      <c r="AI51" s="52">
        <v>130.6</v>
      </c>
      <c r="AJ51" s="56">
        <f t="shared" si="2"/>
        <v>135002.85249999998</v>
      </c>
      <c r="AK51" s="52">
        <v>-14.86</v>
      </c>
      <c r="AL51" s="56">
        <f t="shared" si="9"/>
        <v>-15360.967749999998</v>
      </c>
      <c r="AM51" s="56">
        <f>IF(AND(AC38&lt;TTHH!$D28,AC38&lt;&gt;0),TTHH!$H28,0)</f>
        <v>0</v>
      </c>
      <c r="AO51" s="65">
        <v>1</v>
      </c>
      <c r="AQ51" s="52" t="s">
        <v>44</v>
      </c>
      <c r="AR51" s="62">
        <v>0</v>
      </c>
      <c r="AS51" s="64">
        <f>(AV51/TTHH!$C41)</f>
        <v>1</v>
      </c>
      <c r="AT51" s="65">
        <v>1</v>
      </c>
      <c r="AU51" s="56">
        <f>AT51*TTHH!$C41*'Condición Día D'!$J$8</f>
        <v>865.30499999999995</v>
      </c>
      <c r="AV51" s="32">
        <f>AU51/'Condición Día D'!$J$8</f>
        <v>844.2</v>
      </c>
      <c r="AX51" s="52" t="s">
        <v>24</v>
      </c>
      <c r="AY51" s="56">
        <v>1033.7124999999999</v>
      </c>
      <c r="AZ51" s="52">
        <v>8.9</v>
      </c>
      <c r="BA51" s="56">
        <f t="shared" si="10"/>
        <v>9200.0412499999984</v>
      </c>
      <c r="BB51" s="52">
        <v>130.6</v>
      </c>
      <c r="BC51" s="56">
        <f t="shared" si="3"/>
        <v>135002.85249999998</v>
      </c>
      <c r="BD51" s="52">
        <v>-14.86</v>
      </c>
      <c r="BE51" s="56">
        <f t="shared" si="11"/>
        <v>-15360.967749999998</v>
      </c>
      <c r="BF51" s="56">
        <f>IF(AND(AV38&lt;TTHH!$D28,AV38&lt;&gt;0),TTHH!$H28,0)</f>
        <v>0</v>
      </c>
      <c r="BJ51" s="52" t="s">
        <v>20</v>
      </c>
      <c r="BK51" s="62" cm="1">
        <f t="array" ref="BK51:BK75">_xlfn.ANCHORARRAY(AR31)</f>
        <v>0</v>
      </c>
      <c r="BL51" s="64">
        <f>(BO51/TTHH!$C21)</f>
        <v>0</v>
      </c>
      <c r="BM51" s="65"/>
      <c r="BN51" s="56">
        <f>BM51*TTHH!$C21*'Condición Día D'!$J$8</f>
        <v>0</v>
      </c>
      <c r="BO51" s="32">
        <f>BN51/'Condición Día D'!$J$8</f>
        <v>0</v>
      </c>
      <c r="BS51" s="52" t="s">
        <v>24</v>
      </c>
      <c r="BT51" s="56">
        <v>1033.7124999999999</v>
      </c>
      <c r="BU51" s="52">
        <v>8.9</v>
      </c>
      <c r="BV51" s="56">
        <f t="shared" si="12"/>
        <v>9200.0412499999984</v>
      </c>
      <c r="BW51" s="52">
        <v>130.6</v>
      </c>
      <c r="BX51" s="56">
        <f t="shared" si="4"/>
        <v>135002.85249999998</v>
      </c>
      <c r="BY51" s="52">
        <v>-14.86</v>
      </c>
      <c r="BZ51" s="56">
        <f t="shared" si="13"/>
        <v>-15360.967749999998</v>
      </c>
      <c r="CA51" s="56">
        <f>IF(AND(BO58&lt;TTHH!$D28,BO58&lt;&gt;0),TTHH!$H28,0)</f>
        <v>0</v>
      </c>
      <c r="CE51" s="52" t="s">
        <v>24</v>
      </c>
      <c r="CF51" s="56">
        <v>1033.7124999999999</v>
      </c>
      <c r="CG51" s="52">
        <v>8.9</v>
      </c>
      <c r="CH51" s="56">
        <f t="shared" si="14"/>
        <v>9200.0412499999984</v>
      </c>
      <c r="CI51" s="52">
        <v>130.6</v>
      </c>
      <c r="CJ51" s="56">
        <f t="shared" si="5"/>
        <v>135002.85249999998</v>
      </c>
      <c r="CK51" s="52">
        <v>-14.86</v>
      </c>
      <c r="CL51" s="56">
        <f t="shared" si="15"/>
        <v>-15360.967749999998</v>
      </c>
      <c r="CM51" s="56">
        <f>IF(AND(BO58&lt;TTHH!$D28,BO58&lt;&gt;0),TTHH!$H28,0)</f>
        <v>0</v>
      </c>
    </row>
    <row r="52" spans="5:91" x14ac:dyDescent="0.3">
      <c r="E52" s="52" t="s">
        <v>30</v>
      </c>
      <c r="F52" s="62">
        <v>0</v>
      </c>
      <c r="G52" s="64">
        <f>('Carga y Reparto'!P57/TTHH!C42)</f>
        <v>0</v>
      </c>
      <c r="H52" s="65"/>
      <c r="I52" s="56">
        <f>H52*TTHH!C42*'Condición Día D'!$J$8</f>
        <v>0</v>
      </c>
      <c r="J52" s="32">
        <f>I52/'Condición Día D'!$J$8</f>
        <v>0</v>
      </c>
      <c r="L52" s="52" t="s">
        <v>32</v>
      </c>
      <c r="M52" s="56">
        <v>0</v>
      </c>
      <c r="N52" s="52">
        <v>8.9</v>
      </c>
      <c r="O52" s="56">
        <f t="shared" si="6"/>
        <v>0</v>
      </c>
      <c r="P52" s="52">
        <v>130.6</v>
      </c>
      <c r="Q52" s="56">
        <f t="shared" si="1"/>
        <v>0</v>
      </c>
      <c r="R52" s="52">
        <v>14.86</v>
      </c>
      <c r="S52" s="56">
        <f t="shared" si="7"/>
        <v>0</v>
      </c>
      <c r="T52" s="56">
        <f>IF(AND(J39&lt;TTHH!$D29,'Análisis Inundación'!J39&lt;&gt;0),TTHH!$H29,0)</f>
        <v>0</v>
      </c>
      <c r="X52" s="52" t="s">
        <v>30</v>
      </c>
      <c r="Y52" s="62">
        <v>0</v>
      </c>
      <c r="Z52" s="64">
        <f>(J52/TTHH!$C42)</f>
        <v>0</v>
      </c>
      <c r="AA52" s="65"/>
      <c r="AB52" s="56">
        <f>AA52*TTHH!$C42*'Condición Día D'!$J$8</f>
        <v>0</v>
      </c>
      <c r="AC52" s="32">
        <f>AB52/'Condición Día D'!$J$8</f>
        <v>0</v>
      </c>
      <c r="AE52" s="52" t="s">
        <v>32</v>
      </c>
      <c r="AF52" s="56">
        <v>0</v>
      </c>
      <c r="AG52" s="52">
        <v>8.9</v>
      </c>
      <c r="AH52" s="56">
        <f t="shared" si="8"/>
        <v>0</v>
      </c>
      <c r="AI52" s="52">
        <v>130.6</v>
      </c>
      <c r="AJ52" s="56">
        <f t="shared" si="2"/>
        <v>0</v>
      </c>
      <c r="AK52" s="52">
        <v>14.86</v>
      </c>
      <c r="AL52" s="56">
        <f t="shared" si="9"/>
        <v>0</v>
      </c>
      <c r="AM52" s="56">
        <f>IF(AND(AC39&lt;TTHH!$D29,AC39&lt;&gt;0),TTHH!$H29,0)</f>
        <v>0</v>
      </c>
      <c r="AO52" s="65"/>
      <c r="AQ52" s="52" t="s">
        <v>30</v>
      </c>
      <c r="AR52" s="62">
        <v>0</v>
      </c>
      <c r="AS52" s="64">
        <f>(AV52/TTHH!$C42)</f>
        <v>0</v>
      </c>
      <c r="AT52" s="65"/>
      <c r="AU52" s="56">
        <f>AT52*TTHH!$C42*'Condición Día D'!$J$8</f>
        <v>0</v>
      </c>
      <c r="AV52" s="32">
        <f>AU52/'Condición Día D'!$J$8</f>
        <v>0</v>
      </c>
      <c r="AX52" s="52" t="s">
        <v>32</v>
      </c>
      <c r="AY52" s="56">
        <v>1033.7124999999999</v>
      </c>
      <c r="AZ52" s="52">
        <v>8.9</v>
      </c>
      <c r="BA52" s="56">
        <f t="shared" si="10"/>
        <v>9200.0412499999984</v>
      </c>
      <c r="BB52" s="52">
        <v>130.6</v>
      </c>
      <c r="BC52" s="56">
        <f t="shared" si="3"/>
        <v>135002.85249999998</v>
      </c>
      <c r="BD52" s="52">
        <v>14.86</v>
      </c>
      <c r="BE52" s="56">
        <f t="shared" si="11"/>
        <v>15360.967749999998</v>
      </c>
      <c r="BF52" s="56">
        <f>IF(AND(AV39&lt;TTHH!$D29,AV39&lt;&gt;0),TTHH!$H29,0)</f>
        <v>0</v>
      </c>
      <c r="BJ52" s="52" t="s">
        <v>21</v>
      </c>
      <c r="BK52" s="62">
        <v>251.63749999999999</v>
      </c>
      <c r="BL52" s="64">
        <f>(BO52/TTHH!$C22)</f>
        <v>1</v>
      </c>
      <c r="BM52" s="65">
        <v>1</v>
      </c>
      <c r="BN52" s="56">
        <f>BM52*TTHH!$C22*'Condición Día D'!$J$8</f>
        <v>251.63749999999999</v>
      </c>
      <c r="BO52" s="32">
        <f>BN52/'Condición Día D'!$J$8</f>
        <v>245.5</v>
      </c>
      <c r="BS52" s="52" t="s">
        <v>32</v>
      </c>
      <c r="BT52" s="56">
        <v>0</v>
      </c>
      <c r="BU52" s="52">
        <v>8.9</v>
      </c>
      <c r="BV52" s="56">
        <f t="shared" si="12"/>
        <v>0</v>
      </c>
      <c r="BW52" s="52">
        <v>130.6</v>
      </c>
      <c r="BX52" s="56">
        <f t="shared" si="4"/>
        <v>0</v>
      </c>
      <c r="BY52" s="52">
        <v>14.86</v>
      </c>
      <c r="BZ52" s="56">
        <f t="shared" si="13"/>
        <v>0</v>
      </c>
      <c r="CA52" s="56">
        <f>IF(AND(BO59&lt;TTHH!$D29,BO59&lt;&gt;0),TTHH!$H29,0)</f>
        <v>0</v>
      </c>
      <c r="CE52" s="52" t="s">
        <v>32</v>
      </c>
      <c r="CF52" s="56">
        <v>0</v>
      </c>
      <c r="CG52" s="52">
        <v>8.9</v>
      </c>
      <c r="CH52" s="56">
        <f t="shared" si="14"/>
        <v>0</v>
      </c>
      <c r="CI52" s="52">
        <v>130.6</v>
      </c>
      <c r="CJ52" s="56">
        <f t="shared" si="5"/>
        <v>0</v>
      </c>
      <c r="CK52" s="52">
        <v>14.86</v>
      </c>
      <c r="CL52" s="56">
        <f t="shared" si="15"/>
        <v>0</v>
      </c>
      <c r="CM52" s="56">
        <f>IF(AND(BO59&lt;TTHH!$D29,BO59&lt;&gt;0),TTHH!$H29,0)</f>
        <v>0</v>
      </c>
    </row>
    <row r="53" spans="5:91" x14ac:dyDescent="0.3">
      <c r="E53" s="52" t="s">
        <v>29</v>
      </c>
      <c r="F53" s="62">
        <v>0</v>
      </c>
      <c r="G53" s="64">
        <f>('Carga y Reparto'!P58/TTHH!C43)</f>
        <v>0</v>
      </c>
      <c r="H53" s="65"/>
      <c r="I53" s="56">
        <f>H53*TTHH!C43*'Condición Día D'!$J$8</f>
        <v>0</v>
      </c>
      <c r="J53" s="32">
        <f>I53/'Condición Día D'!$J$8</f>
        <v>0</v>
      </c>
      <c r="L53" s="52" t="s">
        <v>33</v>
      </c>
      <c r="M53" s="56">
        <v>622.89250000000004</v>
      </c>
      <c r="N53" s="52">
        <v>1.24</v>
      </c>
      <c r="O53" s="56">
        <f t="shared" si="6"/>
        <v>772.38670000000002</v>
      </c>
      <c r="P53" s="52">
        <v>104.11</v>
      </c>
      <c r="Q53" s="56">
        <f t="shared" si="1"/>
        <v>64849.338175000004</v>
      </c>
      <c r="R53" s="52">
        <v>-7.49</v>
      </c>
      <c r="S53" s="56">
        <f t="shared" si="7"/>
        <v>-4665.464825</v>
      </c>
      <c r="T53" s="56">
        <f>IF(AND(J40&lt;TTHH!$D30,'Análisis Inundación'!J40&lt;&gt;0),TTHH!$H30,0)</f>
        <v>0</v>
      </c>
      <c r="X53" s="52" t="s">
        <v>29</v>
      </c>
      <c r="Y53" s="62">
        <v>0</v>
      </c>
      <c r="Z53" s="64">
        <f>(J53/TTHH!$C43)</f>
        <v>0</v>
      </c>
      <c r="AA53" s="65"/>
      <c r="AB53" s="56">
        <f>AA53*TTHH!$C43*'Condición Día D'!$J$8</f>
        <v>0</v>
      </c>
      <c r="AC53" s="32">
        <f>AB53/'Condición Día D'!$J$8</f>
        <v>0</v>
      </c>
      <c r="AE53" s="52" t="s">
        <v>33</v>
      </c>
      <c r="AF53" s="56">
        <v>622.89250000000004</v>
      </c>
      <c r="AG53" s="52">
        <v>1.24</v>
      </c>
      <c r="AH53" s="56">
        <f t="shared" si="8"/>
        <v>772.38670000000002</v>
      </c>
      <c r="AI53" s="52">
        <v>104.11</v>
      </c>
      <c r="AJ53" s="56">
        <f t="shared" si="2"/>
        <v>64849.338175000004</v>
      </c>
      <c r="AK53" s="52">
        <v>-7.49</v>
      </c>
      <c r="AL53" s="56">
        <f t="shared" si="9"/>
        <v>-4665.464825</v>
      </c>
      <c r="AM53" s="56">
        <f>IF(AND(AC40&lt;TTHH!$D30,AC40&lt;&gt;0),TTHH!$H30,0)</f>
        <v>0</v>
      </c>
      <c r="AO53" s="65"/>
      <c r="AQ53" s="52" t="s">
        <v>29</v>
      </c>
      <c r="AR53" s="62">
        <v>0</v>
      </c>
      <c r="AS53" s="64">
        <f>(AV53/TTHH!$C43)</f>
        <v>0</v>
      </c>
      <c r="AT53" s="65"/>
      <c r="AU53" s="56">
        <f>AT53*TTHH!$C43*'Condición Día D'!$J$8</f>
        <v>0</v>
      </c>
      <c r="AV53" s="32">
        <f>AU53/'Condición Día D'!$J$8</f>
        <v>0</v>
      </c>
      <c r="AX53" s="52" t="s">
        <v>33</v>
      </c>
      <c r="AY53" s="56">
        <v>622.89250000000004</v>
      </c>
      <c r="AZ53" s="52">
        <v>1.24</v>
      </c>
      <c r="BA53" s="56">
        <f t="shared" si="10"/>
        <v>772.38670000000002</v>
      </c>
      <c r="BB53" s="52">
        <v>104.11</v>
      </c>
      <c r="BC53" s="56">
        <f t="shared" si="3"/>
        <v>64849.338175000004</v>
      </c>
      <c r="BD53" s="52">
        <v>-7.49</v>
      </c>
      <c r="BE53" s="56">
        <f t="shared" si="11"/>
        <v>-4665.464825</v>
      </c>
      <c r="BF53" s="56">
        <f>IF(AND(AV40&lt;TTHH!$D30,AV40&lt;&gt;0),TTHH!$H30,0)</f>
        <v>0</v>
      </c>
      <c r="BJ53" s="52" t="s">
        <v>25</v>
      </c>
      <c r="BK53" s="62">
        <v>0</v>
      </c>
      <c r="BL53" s="64">
        <f>(BO53/TTHH!$C23)</f>
        <v>0</v>
      </c>
      <c r="BM53" s="65"/>
      <c r="BN53" s="56">
        <f>BM53*TTHH!$C23*'Condición Día D'!$J$8</f>
        <v>0</v>
      </c>
      <c r="BO53" s="32">
        <f>BN53/'Condición Día D'!$J$8</f>
        <v>0</v>
      </c>
      <c r="BS53" s="52" t="s">
        <v>33</v>
      </c>
      <c r="BT53" s="56">
        <v>622.89250000000004</v>
      </c>
      <c r="BU53" s="52">
        <v>1.24</v>
      </c>
      <c r="BV53" s="56">
        <f t="shared" si="12"/>
        <v>772.38670000000002</v>
      </c>
      <c r="BW53" s="52">
        <v>104.11</v>
      </c>
      <c r="BX53" s="56">
        <f t="shared" si="4"/>
        <v>64849.338175000004</v>
      </c>
      <c r="BY53" s="52">
        <v>-7.49</v>
      </c>
      <c r="BZ53" s="56">
        <f t="shared" si="13"/>
        <v>-4665.464825</v>
      </c>
      <c r="CA53" s="56">
        <f>IF(AND(BO60&lt;TTHH!$D30,BO60&lt;&gt;0),TTHH!$H30,0)</f>
        <v>0</v>
      </c>
      <c r="CE53" s="52" t="s">
        <v>33</v>
      </c>
      <c r="CF53" s="56">
        <v>622.89250000000004</v>
      </c>
      <c r="CG53" s="52">
        <v>1.24</v>
      </c>
      <c r="CH53" s="56">
        <f t="shared" si="14"/>
        <v>772.38670000000002</v>
      </c>
      <c r="CI53" s="52">
        <v>104.11</v>
      </c>
      <c r="CJ53" s="56">
        <f t="shared" si="5"/>
        <v>64849.338175000004</v>
      </c>
      <c r="CK53" s="52">
        <v>-7.49</v>
      </c>
      <c r="CL53" s="56">
        <f t="shared" si="15"/>
        <v>-4665.464825</v>
      </c>
      <c r="CM53" s="56">
        <f>IF(AND(BO60&lt;TTHH!$D30,BO60&lt;&gt;0),TTHH!$H30,0)</f>
        <v>0</v>
      </c>
    </row>
    <row r="54" spans="5:91" x14ac:dyDescent="0.3">
      <c r="E54" s="52" t="s">
        <v>28</v>
      </c>
      <c r="F54" s="62">
        <v>0</v>
      </c>
      <c r="G54" s="64">
        <f>('Carga y Reparto'!P59/TTHH!C44)</f>
        <v>0</v>
      </c>
      <c r="H54" s="65"/>
      <c r="I54" s="56">
        <f>H54*TTHH!C44*'Condición Día D'!$J$8</f>
        <v>0</v>
      </c>
      <c r="J54" s="32">
        <f>I54/'Condición Día D'!$J$8</f>
        <v>0</v>
      </c>
      <c r="L54" s="52" t="s">
        <v>34</v>
      </c>
      <c r="M54" s="56">
        <v>0</v>
      </c>
      <c r="N54" s="52">
        <v>1.24</v>
      </c>
      <c r="O54" s="56">
        <f t="shared" si="6"/>
        <v>0</v>
      </c>
      <c r="P54" s="52">
        <v>104.11</v>
      </c>
      <c r="Q54" s="56">
        <f t="shared" si="1"/>
        <v>0</v>
      </c>
      <c r="R54" s="52">
        <v>7.49</v>
      </c>
      <c r="S54" s="56">
        <f t="shared" si="7"/>
        <v>0</v>
      </c>
      <c r="T54" s="56">
        <f>IF(AND(J41&lt;TTHH!$D31,'Análisis Inundación'!J41&lt;&gt;0),TTHH!$H31,0)</f>
        <v>0</v>
      </c>
      <c r="X54" s="52" t="s">
        <v>28</v>
      </c>
      <c r="Y54" s="62">
        <v>0</v>
      </c>
      <c r="Z54" s="64">
        <f>(J54/TTHH!$C44)</f>
        <v>0</v>
      </c>
      <c r="AA54" s="65"/>
      <c r="AB54" s="56">
        <f>AA54*TTHH!$C44*'Condición Día D'!$J$8</f>
        <v>0</v>
      </c>
      <c r="AC54" s="32">
        <f>AB54/'Condición Día D'!$J$8</f>
        <v>0</v>
      </c>
      <c r="AE54" s="52" t="s">
        <v>34</v>
      </c>
      <c r="AF54" s="56">
        <v>622.89250000000004</v>
      </c>
      <c r="AG54" s="52">
        <v>1.24</v>
      </c>
      <c r="AH54" s="56">
        <f t="shared" si="8"/>
        <v>772.38670000000002</v>
      </c>
      <c r="AI54" s="52">
        <v>104.11</v>
      </c>
      <c r="AJ54" s="56">
        <f t="shared" si="2"/>
        <v>64849.338175000004</v>
      </c>
      <c r="AK54" s="52">
        <v>7.49</v>
      </c>
      <c r="AL54" s="56">
        <f t="shared" si="9"/>
        <v>4665.464825</v>
      </c>
      <c r="AM54" s="56">
        <f>IF(AND(AC41&lt;TTHH!$D31,AC41&lt;&gt;0),TTHH!$H31,0)</f>
        <v>0</v>
      </c>
      <c r="AO54" s="65">
        <v>1</v>
      </c>
      <c r="AQ54" s="52" t="s">
        <v>28</v>
      </c>
      <c r="AR54" s="62">
        <v>0</v>
      </c>
      <c r="AS54" s="64">
        <f>(AV54/TTHH!$C44)</f>
        <v>1</v>
      </c>
      <c r="AT54" s="65">
        <v>1</v>
      </c>
      <c r="AU54" s="56">
        <f>AT54*TTHH!$C44*'Condición Día D'!$J$8</f>
        <v>658.15249999999992</v>
      </c>
      <c r="AV54" s="32">
        <f>AU54/'Condición Día D'!$J$8</f>
        <v>642.1</v>
      </c>
      <c r="AX54" s="52" t="s">
        <v>34</v>
      </c>
      <c r="AY54" s="56">
        <v>622.89250000000004</v>
      </c>
      <c r="AZ54" s="52">
        <v>1.24</v>
      </c>
      <c r="BA54" s="56">
        <f t="shared" si="10"/>
        <v>772.38670000000002</v>
      </c>
      <c r="BB54" s="52">
        <v>104.11</v>
      </c>
      <c r="BC54" s="56">
        <f t="shared" si="3"/>
        <v>64849.338175000004</v>
      </c>
      <c r="BD54" s="52">
        <v>7.49</v>
      </c>
      <c r="BE54" s="56">
        <f t="shared" si="11"/>
        <v>4665.464825</v>
      </c>
      <c r="BF54" s="56">
        <f>IF(AND(AV41&lt;TTHH!$D31,AV41&lt;&gt;0),TTHH!$H31,0)</f>
        <v>0</v>
      </c>
      <c r="BJ54" s="52" t="s">
        <v>23</v>
      </c>
      <c r="BK54" s="62">
        <v>1093.5725</v>
      </c>
      <c r="BL54" s="64">
        <f>(BO54/TTHH!$C24)</f>
        <v>1</v>
      </c>
      <c r="BM54" s="65">
        <v>1</v>
      </c>
      <c r="BN54" s="56">
        <f>BM54*TTHH!$C24*'Condición Día D'!$J$8</f>
        <v>1093.5725</v>
      </c>
      <c r="BO54" s="32">
        <f>BN54/'Condición Día D'!$J$8</f>
        <v>1066.9000000000001</v>
      </c>
      <c r="BS54" s="52" t="s">
        <v>34</v>
      </c>
      <c r="BT54" s="56">
        <v>0</v>
      </c>
      <c r="BU54" s="52">
        <v>1.24</v>
      </c>
      <c r="BV54" s="56">
        <f t="shared" si="12"/>
        <v>0</v>
      </c>
      <c r="BW54" s="52">
        <v>104.11</v>
      </c>
      <c r="BX54" s="56">
        <f t="shared" si="4"/>
        <v>0</v>
      </c>
      <c r="BY54" s="52">
        <v>7.49</v>
      </c>
      <c r="BZ54" s="56">
        <f t="shared" si="13"/>
        <v>0</v>
      </c>
      <c r="CA54" s="56">
        <f>IF(AND(BO61&lt;TTHH!$D31,BO61&lt;&gt;0),TTHH!$H31,0)</f>
        <v>0</v>
      </c>
      <c r="CE54" s="52" t="s">
        <v>34</v>
      </c>
      <c r="CF54" s="56">
        <v>0</v>
      </c>
      <c r="CG54" s="52">
        <v>1.24</v>
      </c>
      <c r="CH54" s="56">
        <f t="shared" si="14"/>
        <v>0</v>
      </c>
      <c r="CI54" s="52">
        <v>104.11</v>
      </c>
      <c r="CJ54" s="56">
        <f t="shared" si="5"/>
        <v>0</v>
      </c>
      <c r="CK54" s="52">
        <v>7.49</v>
      </c>
      <c r="CL54" s="56">
        <f t="shared" si="15"/>
        <v>0</v>
      </c>
      <c r="CM54" s="56">
        <f>IF(AND(BO61&lt;TTHH!$D31,BO61&lt;&gt;0),TTHH!$H31,0)</f>
        <v>0</v>
      </c>
    </row>
    <row r="55" spans="5:91" x14ac:dyDescent="0.3">
      <c r="E55" s="52" t="s">
        <v>27</v>
      </c>
      <c r="F55" s="62">
        <v>0</v>
      </c>
      <c r="G55" s="64">
        <f>('Carga y Reparto'!P60/TTHH!C45)</f>
        <v>0</v>
      </c>
      <c r="H55" s="65"/>
      <c r="I55" s="56">
        <f>H55*TTHH!C45*'Condición Día D'!$J$8</f>
        <v>0</v>
      </c>
      <c r="J55" s="32">
        <f>I55/'Condición Día D'!$J$8</f>
        <v>0</v>
      </c>
      <c r="L55" s="52" t="s">
        <v>35</v>
      </c>
      <c r="M55" s="56">
        <v>1035.0449999999998</v>
      </c>
      <c r="N55" s="52">
        <v>8.89</v>
      </c>
      <c r="O55" s="56">
        <f t="shared" si="6"/>
        <v>9201.5500499999998</v>
      </c>
      <c r="P55" s="52">
        <v>101.82</v>
      </c>
      <c r="Q55" s="56">
        <f t="shared" si="1"/>
        <v>105388.28189999997</v>
      </c>
      <c r="R55" s="52">
        <v>-14.86</v>
      </c>
      <c r="S55" s="56">
        <f t="shared" si="7"/>
        <v>-15380.768699999997</v>
      </c>
      <c r="T55" s="56">
        <f>IF(AND(J42&lt;TTHH!$D32,'Análisis Inundación'!J42&lt;&gt;0),TTHH!$H32,0)</f>
        <v>0</v>
      </c>
      <c r="X55" s="52" t="s">
        <v>27</v>
      </c>
      <c r="Y55" s="62">
        <v>0</v>
      </c>
      <c r="Z55" s="64">
        <f>(J55/TTHH!$C45)</f>
        <v>0</v>
      </c>
      <c r="AA55" s="65"/>
      <c r="AB55" s="56">
        <f>AA55*TTHH!$C45*'Condición Día D'!$J$8</f>
        <v>0</v>
      </c>
      <c r="AC55" s="32">
        <f>AB55/'Condición Día D'!$J$8</f>
        <v>0</v>
      </c>
      <c r="AE55" s="52" t="s">
        <v>35</v>
      </c>
      <c r="AF55" s="56">
        <v>1035.0449999999998</v>
      </c>
      <c r="AG55" s="52">
        <v>8.89</v>
      </c>
      <c r="AH55" s="56">
        <f t="shared" si="8"/>
        <v>9201.5500499999998</v>
      </c>
      <c r="AI55" s="52">
        <v>101.82</v>
      </c>
      <c r="AJ55" s="56">
        <f t="shared" si="2"/>
        <v>105388.28189999997</v>
      </c>
      <c r="AK55" s="52">
        <v>-14.86</v>
      </c>
      <c r="AL55" s="56">
        <f t="shared" si="9"/>
        <v>-15380.768699999997</v>
      </c>
      <c r="AM55" s="56">
        <f>IF(AND(AC42&lt;TTHH!$D32,AC42&lt;&gt;0),TTHH!$H32,0)</f>
        <v>0</v>
      </c>
      <c r="AO55" s="65"/>
      <c r="AQ55" s="52" t="s">
        <v>27</v>
      </c>
      <c r="AR55" s="62">
        <v>0</v>
      </c>
      <c r="AS55" s="64">
        <f>(AV55/TTHH!$C45)</f>
        <v>0</v>
      </c>
      <c r="AT55" s="65"/>
      <c r="AU55" s="56">
        <f>AT55*TTHH!$C45*'Condición Día D'!$J$8</f>
        <v>0</v>
      </c>
      <c r="AV55" s="32">
        <f>AU55/'Condición Día D'!$J$8</f>
        <v>0</v>
      </c>
      <c r="AX55" s="52" t="s">
        <v>35</v>
      </c>
      <c r="AY55" s="56">
        <v>1035.0449999999998</v>
      </c>
      <c r="AZ55" s="52">
        <v>8.89</v>
      </c>
      <c r="BA55" s="56">
        <f t="shared" si="10"/>
        <v>9201.5500499999998</v>
      </c>
      <c r="BB55" s="52">
        <v>101.82</v>
      </c>
      <c r="BC55" s="56">
        <f t="shared" si="3"/>
        <v>105388.28189999997</v>
      </c>
      <c r="BD55" s="52">
        <v>-14.86</v>
      </c>
      <c r="BE55" s="56">
        <f t="shared" si="11"/>
        <v>-15380.768699999997</v>
      </c>
      <c r="BF55" s="56">
        <f>IF(AND(AV42&lt;TTHH!$D32,AV42&lt;&gt;0),TTHH!$H32,0)</f>
        <v>0</v>
      </c>
      <c r="BJ55" s="52" t="s">
        <v>26</v>
      </c>
      <c r="BK55" s="62">
        <v>0</v>
      </c>
      <c r="BL55" s="64">
        <f>(BO55/TTHH!$C25)</f>
        <v>0</v>
      </c>
      <c r="BM55" s="65"/>
      <c r="BN55" s="56">
        <f>BM55*TTHH!$C25*'Condición Día D'!$J$8</f>
        <v>0</v>
      </c>
      <c r="BO55" s="32">
        <f>BN55/'Condición Día D'!$J$8</f>
        <v>0</v>
      </c>
      <c r="BS55" s="52" t="s">
        <v>35</v>
      </c>
      <c r="BT55" s="56">
        <v>1035.0449999999998</v>
      </c>
      <c r="BU55" s="52">
        <v>8.89</v>
      </c>
      <c r="BV55" s="56">
        <f t="shared" si="12"/>
        <v>9201.5500499999998</v>
      </c>
      <c r="BW55" s="52">
        <v>101.82</v>
      </c>
      <c r="BX55" s="56">
        <f t="shared" si="4"/>
        <v>105388.28189999997</v>
      </c>
      <c r="BY55" s="52">
        <v>-14.86</v>
      </c>
      <c r="BZ55" s="56">
        <f t="shared" si="13"/>
        <v>-15380.768699999997</v>
      </c>
      <c r="CA55" s="56">
        <f>IF(AND(BO62&lt;TTHH!$D32,BO62&lt;&gt;0),TTHH!$H32,0)</f>
        <v>0</v>
      </c>
      <c r="CE55" s="52" t="s">
        <v>35</v>
      </c>
      <c r="CF55" s="56">
        <v>1035.0449999999998</v>
      </c>
      <c r="CG55" s="52">
        <v>8.89</v>
      </c>
      <c r="CH55" s="56">
        <f t="shared" si="14"/>
        <v>9201.5500499999998</v>
      </c>
      <c r="CI55" s="52">
        <v>101.82</v>
      </c>
      <c r="CJ55" s="56">
        <f t="shared" si="5"/>
        <v>105388.28189999997</v>
      </c>
      <c r="CK55" s="52">
        <v>-14.86</v>
      </c>
      <c r="CL55" s="56">
        <f t="shared" si="15"/>
        <v>-15380.768699999997</v>
      </c>
      <c r="CM55" s="56">
        <f>IF(AND(BO62&lt;TTHH!$D32,BO62&lt;&gt;0),TTHH!$H32,0)</f>
        <v>0</v>
      </c>
    </row>
    <row r="56" spans="5:91" x14ac:dyDescent="0.3">
      <c r="L56" s="52" t="s">
        <v>36</v>
      </c>
      <c r="M56" s="56">
        <v>0</v>
      </c>
      <c r="N56" s="52">
        <v>8.89</v>
      </c>
      <c r="O56" s="56">
        <f t="shared" si="6"/>
        <v>0</v>
      </c>
      <c r="P56" s="52">
        <v>101.82</v>
      </c>
      <c r="Q56" s="56">
        <f t="shared" si="1"/>
        <v>0</v>
      </c>
      <c r="R56" s="52">
        <v>14.86</v>
      </c>
      <c r="S56" s="56">
        <f t="shared" si="7"/>
        <v>0</v>
      </c>
      <c r="T56" s="56">
        <f>IF(AND(J43&lt;TTHH!$D33,'Análisis Inundación'!J43&lt;&gt;0),TTHH!$H33,0)</f>
        <v>0</v>
      </c>
      <c r="AE56" s="52" t="s">
        <v>36</v>
      </c>
      <c r="AF56" s="56">
        <v>0</v>
      </c>
      <c r="AG56" s="52">
        <v>8.89</v>
      </c>
      <c r="AH56" s="56">
        <f t="shared" si="8"/>
        <v>0</v>
      </c>
      <c r="AI56" s="52">
        <v>101.82</v>
      </c>
      <c r="AJ56" s="56">
        <f t="shared" si="2"/>
        <v>0</v>
      </c>
      <c r="AK56" s="52">
        <v>14.86</v>
      </c>
      <c r="AL56" s="56">
        <f t="shared" si="9"/>
        <v>0</v>
      </c>
      <c r="AM56" s="56">
        <f>IF(AND(AC43&lt;TTHH!$D33,AC43&lt;&gt;0),TTHH!$H33,0)</f>
        <v>0</v>
      </c>
      <c r="AX56" s="52" t="s">
        <v>36</v>
      </c>
      <c r="AY56" s="56">
        <v>1035.0449999999998</v>
      </c>
      <c r="AZ56" s="52">
        <v>8.89</v>
      </c>
      <c r="BA56" s="56">
        <f t="shared" si="10"/>
        <v>9201.5500499999998</v>
      </c>
      <c r="BB56" s="52">
        <v>101.82</v>
      </c>
      <c r="BC56" s="56">
        <f t="shared" si="3"/>
        <v>105388.28189999997</v>
      </c>
      <c r="BD56" s="52">
        <v>14.86</v>
      </c>
      <c r="BE56" s="56">
        <f t="shared" si="11"/>
        <v>15380.768699999997</v>
      </c>
      <c r="BF56" s="56">
        <f>IF(AND(AV43&lt;TTHH!$D33,AV43&lt;&gt;0),TTHH!$H33,0)</f>
        <v>0</v>
      </c>
      <c r="BJ56" s="52" t="s">
        <v>22</v>
      </c>
      <c r="BK56" s="62">
        <v>622.89250000000004</v>
      </c>
      <c r="BL56" s="64">
        <f>(BO56/TTHH!$C26)</f>
        <v>1</v>
      </c>
      <c r="BM56" s="65">
        <v>1</v>
      </c>
      <c r="BN56" s="56">
        <f>BM56*TTHH!$C26*'Condición Día D'!$J$8</f>
        <v>622.89250000000004</v>
      </c>
      <c r="BO56" s="32">
        <f>BN56/'Condición Día D'!$J$8</f>
        <v>607.70000000000005</v>
      </c>
      <c r="BS56" s="52" t="s">
        <v>36</v>
      </c>
      <c r="BT56" s="56">
        <v>0</v>
      </c>
      <c r="BU56" s="52">
        <v>8.89</v>
      </c>
      <c r="BV56" s="56">
        <f t="shared" si="12"/>
        <v>0</v>
      </c>
      <c r="BW56" s="52">
        <v>101.82</v>
      </c>
      <c r="BX56" s="56">
        <f t="shared" si="4"/>
        <v>0</v>
      </c>
      <c r="BY56" s="52">
        <v>14.86</v>
      </c>
      <c r="BZ56" s="56">
        <f t="shared" si="13"/>
        <v>0</v>
      </c>
      <c r="CA56" s="56">
        <f>IF(AND(BO63&lt;TTHH!$D33,BO63&lt;&gt;0),TTHH!$H33,0)</f>
        <v>0</v>
      </c>
      <c r="CE56" s="52" t="s">
        <v>36</v>
      </c>
      <c r="CF56" s="56">
        <v>0</v>
      </c>
      <c r="CG56" s="52">
        <v>8.89</v>
      </c>
      <c r="CH56" s="56">
        <f t="shared" si="14"/>
        <v>0</v>
      </c>
      <c r="CI56" s="52">
        <v>101.82</v>
      </c>
      <c r="CJ56" s="56">
        <f t="shared" si="5"/>
        <v>0</v>
      </c>
      <c r="CK56" s="52">
        <v>14.86</v>
      </c>
      <c r="CL56" s="56">
        <f t="shared" si="15"/>
        <v>0</v>
      </c>
      <c r="CM56" s="56">
        <f>IF(AND(BO63&lt;TTHH!$D33,BO63&lt;&gt;0),TTHH!$H33,0)</f>
        <v>0</v>
      </c>
    </row>
    <row r="57" spans="5:91" x14ac:dyDescent="0.3">
      <c r="L57" s="52" t="s">
        <v>37</v>
      </c>
      <c r="M57" s="56">
        <v>622.89250000000004</v>
      </c>
      <c r="N57" s="52">
        <v>1.24</v>
      </c>
      <c r="O57" s="56">
        <f t="shared" si="6"/>
        <v>772.38670000000002</v>
      </c>
      <c r="P57" s="52">
        <v>75.31</v>
      </c>
      <c r="Q57" s="56">
        <f t="shared" si="1"/>
        <v>46910.034175000008</v>
      </c>
      <c r="R57" s="52">
        <v>-7.49</v>
      </c>
      <c r="S57" s="56">
        <f t="shared" si="7"/>
        <v>-4665.464825</v>
      </c>
      <c r="T57" s="56">
        <f>IF(AND(J44&lt;TTHH!$D34,'Análisis Inundación'!J44&lt;&gt;0),TTHH!$H34,0)</f>
        <v>0</v>
      </c>
      <c r="AE57" s="52" t="s">
        <v>37</v>
      </c>
      <c r="AF57" s="56">
        <v>622.89250000000004</v>
      </c>
      <c r="AG57" s="52">
        <v>1.24</v>
      </c>
      <c r="AH57" s="56">
        <f t="shared" si="8"/>
        <v>772.38670000000002</v>
      </c>
      <c r="AI57" s="52">
        <v>75.31</v>
      </c>
      <c r="AJ57" s="56">
        <f t="shared" si="2"/>
        <v>46910.034175000008</v>
      </c>
      <c r="AK57" s="52">
        <v>-7.49</v>
      </c>
      <c r="AL57" s="56">
        <f t="shared" si="9"/>
        <v>-4665.464825</v>
      </c>
      <c r="AM57" s="56">
        <f>IF(AND(AC44&lt;TTHH!$D34,AC44&lt;&gt;0),TTHH!$H34,0)</f>
        <v>0</v>
      </c>
      <c r="AX57" s="52" t="s">
        <v>37</v>
      </c>
      <c r="AY57" s="56">
        <v>622.89250000000004</v>
      </c>
      <c r="AZ57" s="52">
        <v>1.24</v>
      </c>
      <c r="BA57" s="56">
        <f t="shared" si="10"/>
        <v>772.38670000000002</v>
      </c>
      <c r="BB57" s="52">
        <v>75.31</v>
      </c>
      <c r="BC57" s="56">
        <f t="shared" si="3"/>
        <v>46910.034175000008</v>
      </c>
      <c r="BD57" s="52">
        <v>-7.49</v>
      </c>
      <c r="BE57" s="56">
        <f t="shared" si="11"/>
        <v>-4665.464825</v>
      </c>
      <c r="BF57" s="56">
        <f>IF(AND(AV44&lt;TTHH!$D34,AV44&lt;&gt;0),TTHH!$H34,0)</f>
        <v>0</v>
      </c>
      <c r="BJ57" s="52" t="s">
        <v>31</v>
      </c>
      <c r="BK57" s="62">
        <v>0</v>
      </c>
      <c r="BL57" s="64">
        <f>(BO57/TTHH!$C27)</f>
        <v>0</v>
      </c>
      <c r="BM57" s="65"/>
      <c r="BN57" s="56">
        <f>BM57*TTHH!$C27*'Condición Día D'!$J$8</f>
        <v>0</v>
      </c>
      <c r="BO57" s="32">
        <f>BN57/'Condición Día D'!$J$8</f>
        <v>0</v>
      </c>
      <c r="BS57" s="52" t="s">
        <v>37</v>
      </c>
      <c r="BT57" s="56">
        <v>622.89250000000004</v>
      </c>
      <c r="BU57" s="52">
        <v>1.24</v>
      </c>
      <c r="BV57" s="56">
        <f t="shared" si="12"/>
        <v>772.38670000000002</v>
      </c>
      <c r="BW57" s="52">
        <v>75.31</v>
      </c>
      <c r="BX57" s="56">
        <f t="shared" si="4"/>
        <v>46910.034175000008</v>
      </c>
      <c r="BY57" s="52">
        <v>-7.49</v>
      </c>
      <c r="BZ57" s="56">
        <f t="shared" si="13"/>
        <v>-4665.464825</v>
      </c>
      <c r="CA57" s="56">
        <f>IF(AND(BO64&lt;TTHH!$D34,BO64&lt;&gt;0),TTHH!$H34,0)</f>
        <v>0</v>
      </c>
      <c r="CE57" s="52" t="s">
        <v>37</v>
      </c>
      <c r="CF57" s="56">
        <v>622.89250000000004</v>
      </c>
      <c r="CG57" s="52">
        <v>1.24</v>
      </c>
      <c r="CH57" s="56">
        <f t="shared" si="14"/>
        <v>772.38670000000002</v>
      </c>
      <c r="CI57" s="52">
        <v>75.31</v>
      </c>
      <c r="CJ57" s="56">
        <f t="shared" si="5"/>
        <v>46910.034175000008</v>
      </c>
      <c r="CK57" s="52">
        <v>-7.49</v>
      </c>
      <c r="CL57" s="56">
        <f t="shared" si="15"/>
        <v>-4665.464825</v>
      </c>
      <c r="CM57" s="56">
        <f>IF(AND(BO64&lt;TTHH!$D34,BO64&lt;&gt;0),TTHH!$H34,0)</f>
        <v>0</v>
      </c>
    </row>
    <row r="58" spans="5:91" x14ac:dyDescent="0.3">
      <c r="E58" s="54" t="s">
        <v>63</v>
      </c>
      <c r="F58" s="52" t="s">
        <v>583</v>
      </c>
      <c r="H58" s="54" t="s">
        <v>79</v>
      </c>
      <c r="I58" s="52" t="s">
        <v>583</v>
      </c>
      <c r="L58" s="52" t="s">
        <v>38</v>
      </c>
      <c r="M58" s="56">
        <v>0</v>
      </c>
      <c r="N58" s="52">
        <v>1.24</v>
      </c>
      <c r="O58" s="56">
        <f t="shared" si="6"/>
        <v>0</v>
      </c>
      <c r="P58" s="52">
        <v>75.31</v>
      </c>
      <c r="Q58" s="56">
        <f t="shared" si="1"/>
        <v>0</v>
      </c>
      <c r="R58" s="52">
        <v>7.49</v>
      </c>
      <c r="S58" s="56">
        <f t="shared" si="7"/>
        <v>0</v>
      </c>
      <c r="T58" s="56">
        <f>IF(AND(J45&lt;TTHH!$D35,'Análisis Inundación'!J45&lt;&gt;0),TTHH!$H35,0)</f>
        <v>0</v>
      </c>
      <c r="X58" s="54" t="s">
        <v>63</v>
      </c>
      <c r="Y58" s="52" t="s">
        <v>603</v>
      </c>
      <c r="AA58" s="54" t="s">
        <v>79</v>
      </c>
      <c r="AB58" s="52" t="s">
        <v>603</v>
      </c>
      <c r="AE58" s="52" t="s">
        <v>38</v>
      </c>
      <c r="AF58" s="56">
        <v>622.89250000000004</v>
      </c>
      <c r="AG58" s="52">
        <v>1.24</v>
      </c>
      <c r="AH58" s="56">
        <f t="shared" si="8"/>
        <v>772.38670000000002</v>
      </c>
      <c r="AI58" s="52">
        <v>75.31</v>
      </c>
      <c r="AJ58" s="56">
        <f t="shared" si="2"/>
        <v>46910.034175000008</v>
      </c>
      <c r="AK58" s="52">
        <v>7.49</v>
      </c>
      <c r="AL58" s="56">
        <f t="shared" si="9"/>
        <v>4665.464825</v>
      </c>
      <c r="AM58" s="56">
        <f>IF(AND(AC45&lt;TTHH!$D35,AC45&lt;&gt;0),TTHH!$H35,0)</f>
        <v>0</v>
      </c>
      <c r="AQ58" s="54" t="s">
        <v>63</v>
      </c>
      <c r="AR58" s="52" t="s">
        <v>603</v>
      </c>
      <c r="AT58" s="54" t="s">
        <v>79</v>
      </c>
      <c r="AU58" s="52" t="s">
        <v>603</v>
      </c>
      <c r="AX58" s="52" t="s">
        <v>38</v>
      </c>
      <c r="AY58" s="56">
        <v>622.89250000000004</v>
      </c>
      <c r="AZ58" s="52">
        <v>1.24</v>
      </c>
      <c r="BA58" s="56">
        <f t="shared" si="10"/>
        <v>772.38670000000002</v>
      </c>
      <c r="BB58" s="52">
        <v>75.31</v>
      </c>
      <c r="BC58" s="56">
        <f t="shared" si="3"/>
        <v>46910.034175000008</v>
      </c>
      <c r="BD58" s="52">
        <v>7.49</v>
      </c>
      <c r="BE58" s="56">
        <f t="shared" si="11"/>
        <v>4665.464825</v>
      </c>
      <c r="BF58" s="56">
        <f>IF(AND(AV45&lt;TTHH!$D35,AV45&lt;&gt;0),TTHH!$H35,0)</f>
        <v>0</v>
      </c>
      <c r="BJ58" s="52" t="s">
        <v>24</v>
      </c>
      <c r="BK58" s="62">
        <v>1033.7124999999999</v>
      </c>
      <c r="BL58" s="64">
        <f>(BO58/TTHH!$C28)</f>
        <v>1</v>
      </c>
      <c r="BM58" s="65">
        <v>1</v>
      </c>
      <c r="BN58" s="56">
        <f>BM58*TTHH!$C28*'Condición Día D'!$J$8</f>
        <v>1033.7124999999999</v>
      </c>
      <c r="BO58" s="32">
        <f>BN58/'Condición Día D'!$J$8</f>
        <v>1008.5</v>
      </c>
      <c r="BS58" s="52" t="s">
        <v>38</v>
      </c>
      <c r="BT58" s="56">
        <v>0</v>
      </c>
      <c r="BU58" s="52">
        <v>1.24</v>
      </c>
      <c r="BV58" s="56">
        <f t="shared" si="12"/>
        <v>0</v>
      </c>
      <c r="BW58" s="52">
        <v>75.31</v>
      </c>
      <c r="BX58" s="56">
        <f t="shared" si="4"/>
        <v>0</v>
      </c>
      <c r="BY58" s="52">
        <v>7.49</v>
      </c>
      <c r="BZ58" s="56">
        <f t="shared" si="13"/>
        <v>0</v>
      </c>
      <c r="CA58" s="56">
        <f>IF(AND(BO65&lt;TTHH!$D35,BO65&lt;&gt;0),TTHH!$H35,0)</f>
        <v>0</v>
      </c>
      <c r="CE58" s="52" t="s">
        <v>38</v>
      </c>
      <c r="CF58" s="56">
        <v>0</v>
      </c>
      <c r="CG58" s="52">
        <v>1.24</v>
      </c>
      <c r="CH58" s="56">
        <f t="shared" si="14"/>
        <v>0</v>
      </c>
      <c r="CI58" s="52">
        <v>75.31</v>
      </c>
      <c r="CJ58" s="56">
        <f t="shared" si="5"/>
        <v>0</v>
      </c>
      <c r="CK58" s="52">
        <v>7.49</v>
      </c>
      <c r="CL58" s="56">
        <f t="shared" si="15"/>
        <v>0</v>
      </c>
      <c r="CM58" s="56">
        <f>IF(AND(BO65&lt;TTHH!$D35,BO65&lt;&gt;0),TTHH!$H35,0)</f>
        <v>0</v>
      </c>
    </row>
    <row r="59" spans="5:91" x14ac:dyDescent="0.3">
      <c r="E59" s="52" t="s">
        <v>65</v>
      </c>
      <c r="F59" s="62" cm="1">
        <f t="array" ref="F59:F68">_xlfn.ANCHORARRAY('Condición Día D'!U58)</f>
        <v>17.100000000000001</v>
      </c>
      <c r="H59" s="52" t="s">
        <v>80</v>
      </c>
      <c r="I59" s="62" cm="1">
        <f t="array" ref="I59:I61">_xlfn.ANCHORARRAY('Condición Día D'!U72)</f>
        <v>0</v>
      </c>
      <c r="L59" s="52" t="s">
        <v>39</v>
      </c>
      <c r="M59" s="56">
        <v>1023.0524999999999</v>
      </c>
      <c r="N59" s="52">
        <v>8.98</v>
      </c>
      <c r="O59" s="56">
        <f t="shared" si="6"/>
        <v>9187.01145</v>
      </c>
      <c r="P59" s="52">
        <v>73.13</v>
      </c>
      <c r="Q59" s="56">
        <f t="shared" si="1"/>
        <v>74815.829324999984</v>
      </c>
      <c r="R59" s="52">
        <v>-14.85</v>
      </c>
      <c r="S59" s="56">
        <f t="shared" si="7"/>
        <v>-15192.329624999998</v>
      </c>
      <c r="T59" s="56">
        <f>IF(AND(J46&lt;TTHH!$D36,'Análisis Inundación'!J46&lt;&gt;0),TTHH!$H36,0)</f>
        <v>0</v>
      </c>
      <c r="X59" s="52" t="s">
        <v>65</v>
      </c>
      <c r="Y59" s="62" cm="1">
        <f t="array" ref="Y59:Y68">_xlfn.ANCHORARRAY(F59)</f>
        <v>17.100000000000001</v>
      </c>
      <c r="AA59" s="52" t="s">
        <v>80</v>
      </c>
      <c r="AB59" s="62" cm="1">
        <f t="array" ref="AB59:AB61">_xlfn.ANCHORARRAY(I59)</f>
        <v>0</v>
      </c>
      <c r="AE59" s="52" t="s">
        <v>39</v>
      </c>
      <c r="AF59" s="56">
        <v>1023.0524999999999</v>
      </c>
      <c r="AG59" s="52">
        <v>8.98</v>
      </c>
      <c r="AH59" s="56">
        <f t="shared" si="8"/>
        <v>9187.01145</v>
      </c>
      <c r="AI59" s="52">
        <v>73.13</v>
      </c>
      <c r="AJ59" s="56">
        <f t="shared" si="2"/>
        <v>74815.829324999984</v>
      </c>
      <c r="AK59" s="52">
        <v>-14.85</v>
      </c>
      <c r="AL59" s="56">
        <f t="shared" si="9"/>
        <v>-15192.329624999998</v>
      </c>
      <c r="AM59" s="56">
        <f>IF(AND(AC46&lt;TTHH!$D36,AC46&lt;&gt;0),TTHH!$H36,0)</f>
        <v>0</v>
      </c>
      <c r="AQ59" s="52" t="s">
        <v>65</v>
      </c>
      <c r="AR59" s="62" cm="1">
        <f t="array" ref="AR59:AR68">_xlfn.ANCHORARRAY(Y59)</f>
        <v>17.100000000000001</v>
      </c>
      <c r="AT59" s="52" t="s">
        <v>80</v>
      </c>
      <c r="AU59" s="62" cm="1">
        <f t="array" ref="AU59:AU61">_xlfn.ANCHORARRAY(AB59)</f>
        <v>0</v>
      </c>
      <c r="AX59" s="52" t="s">
        <v>39</v>
      </c>
      <c r="AY59" s="56">
        <v>1023.0524999999999</v>
      </c>
      <c r="AZ59" s="52">
        <v>8.98</v>
      </c>
      <c r="BA59" s="56">
        <f t="shared" si="10"/>
        <v>9187.01145</v>
      </c>
      <c r="BB59" s="52">
        <v>73.13</v>
      </c>
      <c r="BC59" s="56">
        <f t="shared" si="3"/>
        <v>74815.829324999984</v>
      </c>
      <c r="BD59" s="52">
        <v>-14.85</v>
      </c>
      <c r="BE59" s="56">
        <f t="shared" si="11"/>
        <v>-15192.329624999998</v>
      </c>
      <c r="BF59" s="56">
        <f>IF(AND(AV46&lt;TTHH!$D36,AV46&lt;&gt;0),TTHH!$H36,0)</f>
        <v>0</v>
      </c>
      <c r="BJ59" s="52" t="s">
        <v>32</v>
      </c>
      <c r="BK59" s="62">
        <v>0</v>
      </c>
      <c r="BL59" s="64">
        <f>(BO59/TTHH!$C29)</f>
        <v>0</v>
      </c>
      <c r="BM59" s="65"/>
      <c r="BN59" s="56">
        <f>BM59*TTHH!$C29*'Condición Día D'!$J$8</f>
        <v>0</v>
      </c>
      <c r="BO59" s="32">
        <f>BN59/'Condición Día D'!$J$8</f>
        <v>0</v>
      </c>
      <c r="BS59" s="52" t="s">
        <v>39</v>
      </c>
      <c r="BT59" s="56">
        <v>1023.0524999999999</v>
      </c>
      <c r="BU59" s="52">
        <v>8.98</v>
      </c>
      <c r="BV59" s="56">
        <f t="shared" si="12"/>
        <v>9187.01145</v>
      </c>
      <c r="BW59" s="52">
        <v>73.13</v>
      </c>
      <c r="BX59" s="56">
        <f t="shared" si="4"/>
        <v>74815.829324999984</v>
      </c>
      <c r="BY59" s="52">
        <v>-14.85</v>
      </c>
      <c r="BZ59" s="56">
        <f t="shared" si="13"/>
        <v>-15192.329624999998</v>
      </c>
      <c r="CA59" s="56">
        <f>IF(AND(BO66&lt;TTHH!$D36,BO66&lt;&gt;0),TTHH!$H36,0)</f>
        <v>0</v>
      </c>
      <c r="CE59" s="52" t="s">
        <v>39</v>
      </c>
      <c r="CF59" s="56">
        <v>1023.0524999999999</v>
      </c>
      <c r="CG59" s="52">
        <v>8.98</v>
      </c>
      <c r="CH59" s="56">
        <f t="shared" si="14"/>
        <v>9187.01145</v>
      </c>
      <c r="CI59" s="52">
        <v>73.13</v>
      </c>
      <c r="CJ59" s="56">
        <f t="shared" si="5"/>
        <v>74815.829324999984</v>
      </c>
      <c r="CK59" s="52">
        <v>-14.85</v>
      </c>
      <c r="CL59" s="56">
        <f t="shared" si="15"/>
        <v>-15192.329624999998</v>
      </c>
      <c r="CM59" s="56">
        <f>IF(AND(BO66&lt;TTHH!$D36,BO66&lt;&gt;0),TTHH!$H36,0)</f>
        <v>0</v>
      </c>
    </row>
    <row r="60" spans="5:91" x14ac:dyDescent="0.3">
      <c r="E60" s="52" t="s">
        <v>66</v>
      </c>
      <c r="F60" s="62">
        <v>16.829999999999998</v>
      </c>
      <c r="H60" s="52" t="s">
        <v>81</v>
      </c>
      <c r="I60" s="62">
        <v>0</v>
      </c>
      <c r="L60" s="52" t="s">
        <v>40</v>
      </c>
      <c r="M60" s="56">
        <v>0</v>
      </c>
      <c r="N60" s="52">
        <v>8.98</v>
      </c>
      <c r="O60" s="56">
        <f t="shared" si="6"/>
        <v>0</v>
      </c>
      <c r="P60" s="52">
        <v>73.13</v>
      </c>
      <c r="Q60" s="56">
        <f t="shared" si="1"/>
        <v>0</v>
      </c>
      <c r="R60" s="52">
        <v>14.85</v>
      </c>
      <c r="S60" s="56">
        <f t="shared" si="7"/>
        <v>0</v>
      </c>
      <c r="T60" s="56">
        <f>IF(AND(J47&lt;TTHH!$D37,'Análisis Inundación'!J47&lt;&gt;0),TTHH!$H37,0)</f>
        <v>0</v>
      </c>
      <c r="X60" s="52" t="s">
        <v>66</v>
      </c>
      <c r="Y60" s="62">
        <v>16.829999999999998</v>
      </c>
      <c r="AA60" s="52" t="s">
        <v>81</v>
      </c>
      <c r="AB60" s="62">
        <v>0</v>
      </c>
      <c r="AE60" s="52" t="s">
        <v>40</v>
      </c>
      <c r="AF60" s="56">
        <v>0</v>
      </c>
      <c r="AG60" s="52">
        <v>8.98</v>
      </c>
      <c r="AH60" s="56">
        <f t="shared" si="8"/>
        <v>0</v>
      </c>
      <c r="AI60" s="52">
        <v>73.13</v>
      </c>
      <c r="AJ60" s="56">
        <f t="shared" si="2"/>
        <v>0</v>
      </c>
      <c r="AK60" s="52">
        <v>14.85</v>
      </c>
      <c r="AL60" s="56">
        <f t="shared" si="9"/>
        <v>0</v>
      </c>
      <c r="AM60" s="56">
        <f>IF(AND(AC47&lt;TTHH!$D37,AC47&lt;&gt;0),TTHH!$H37,0)</f>
        <v>0</v>
      </c>
      <c r="AQ60" s="52" t="s">
        <v>66</v>
      </c>
      <c r="AR60" s="62">
        <v>16.829999999999998</v>
      </c>
      <c r="AT60" s="52" t="s">
        <v>81</v>
      </c>
      <c r="AU60" s="62">
        <v>0</v>
      </c>
      <c r="AX60" s="52" t="s">
        <v>40</v>
      </c>
      <c r="AY60" s="56">
        <v>1023.0524999999999</v>
      </c>
      <c r="AZ60" s="52">
        <v>8.98</v>
      </c>
      <c r="BA60" s="56">
        <f t="shared" si="10"/>
        <v>9187.01145</v>
      </c>
      <c r="BB60" s="52">
        <v>73.13</v>
      </c>
      <c r="BC60" s="56">
        <f t="shared" si="3"/>
        <v>74815.829324999984</v>
      </c>
      <c r="BD60" s="52">
        <v>14.85</v>
      </c>
      <c r="BE60" s="56">
        <f t="shared" si="11"/>
        <v>15192.329624999998</v>
      </c>
      <c r="BF60" s="56">
        <f>IF(AND(AV47&lt;TTHH!$D37,AV47&lt;&gt;0),TTHH!$H37,0)</f>
        <v>0</v>
      </c>
      <c r="BJ60" s="52" t="s">
        <v>33</v>
      </c>
      <c r="BK60" s="62">
        <v>622.89250000000004</v>
      </c>
      <c r="BL60" s="64">
        <f>(BO60/TTHH!$C30)</f>
        <v>1</v>
      </c>
      <c r="BM60" s="65">
        <v>1</v>
      </c>
      <c r="BN60" s="56">
        <f>BM60*TTHH!$C30*'Condición Día D'!$J$8</f>
        <v>622.89250000000004</v>
      </c>
      <c r="BO60" s="32">
        <f>BN60/'Condición Día D'!$J$8</f>
        <v>607.70000000000005</v>
      </c>
      <c r="BS60" s="52" t="s">
        <v>40</v>
      </c>
      <c r="BT60" s="56">
        <v>0</v>
      </c>
      <c r="BU60" s="52">
        <v>8.98</v>
      </c>
      <c r="BV60" s="56">
        <f t="shared" si="12"/>
        <v>0</v>
      </c>
      <c r="BW60" s="52">
        <v>73.13</v>
      </c>
      <c r="BX60" s="56">
        <f t="shared" si="4"/>
        <v>0</v>
      </c>
      <c r="BY60" s="52">
        <v>14.85</v>
      </c>
      <c r="BZ60" s="56">
        <f t="shared" si="13"/>
        <v>0</v>
      </c>
      <c r="CA60" s="56">
        <f>IF(AND(BO67&lt;TTHH!$D37,BO67&lt;&gt;0),TTHH!$H37,0)</f>
        <v>0</v>
      </c>
      <c r="CE60" s="52" t="s">
        <v>40</v>
      </c>
      <c r="CF60" s="56">
        <v>0</v>
      </c>
      <c r="CG60" s="52">
        <v>8.98</v>
      </c>
      <c r="CH60" s="56">
        <f t="shared" si="14"/>
        <v>0</v>
      </c>
      <c r="CI60" s="52">
        <v>73.13</v>
      </c>
      <c r="CJ60" s="56">
        <f t="shared" si="5"/>
        <v>0</v>
      </c>
      <c r="CK60" s="52">
        <v>14.85</v>
      </c>
      <c r="CL60" s="56">
        <f t="shared" si="15"/>
        <v>0</v>
      </c>
      <c r="CM60" s="56">
        <f>IF(AND(BO67&lt;TTHH!$D37,BO67&lt;&gt;0),TTHH!$H37,0)</f>
        <v>0</v>
      </c>
    </row>
    <row r="61" spans="5:91" x14ac:dyDescent="0.3">
      <c r="E61" s="52" t="s">
        <v>67</v>
      </c>
      <c r="F61" s="62">
        <v>11.18</v>
      </c>
      <c r="H61" s="52" t="s">
        <v>82</v>
      </c>
      <c r="I61" s="62">
        <v>0</v>
      </c>
      <c r="L61" s="52" t="s">
        <v>41</v>
      </c>
      <c r="M61" s="56">
        <v>445.97749999999996</v>
      </c>
      <c r="N61" s="52">
        <v>1.38</v>
      </c>
      <c r="O61" s="56">
        <f t="shared" si="6"/>
        <v>615.44894999999985</v>
      </c>
      <c r="P61" s="52">
        <v>49.43</v>
      </c>
      <c r="Q61" s="56">
        <f t="shared" si="1"/>
        <v>22044.667824999997</v>
      </c>
      <c r="R61" s="52">
        <v>-6.38</v>
      </c>
      <c r="S61" s="56">
        <f t="shared" si="7"/>
        <v>-2845.3364499999998</v>
      </c>
      <c r="T61" s="56">
        <f>IF(AND(J48&lt;TTHH!$D38,'Análisis Inundación'!J48&lt;&gt;0),TTHH!$H38,0)</f>
        <v>0</v>
      </c>
      <c r="X61" s="52" t="s">
        <v>67</v>
      </c>
      <c r="Y61" s="62">
        <v>11.18</v>
      </c>
      <c r="AA61" s="52" t="s">
        <v>82</v>
      </c>
      <c r="AB61" s="62">
        <v>0</v>
      </c>
      <c r="AE61" s="52" t="s">
        <v>41</v>
      </c>
      <c r="AF61" s="56">
        <v>445.97749999999996</v>
      </c>
      <c r="AG61" s="52">
        <v>1.38</v>
      </c>
      <c r="AH61" s="56">
        <f t="shared" si="8"/>
        <v>615.44894999999985</v>
      </c>
      <c r="AI61" s="52">
        <v>49.43</v>
      </c>
      <c r="AJ61" s="56">
        <f t="shared" si="2"/>
        <v>22044.667824999997</v>
      </c>
      <c r="AK61" s="52">
        <v>-6.38</v>
      </c>
      <c r="AL61" s="56">
        <f t="shared" si="9"/>
        <v>-2845.3364499999998</v>
      </c>
      <c r="AM61" s="56">
        <f>IF(AND(AC48&lt;TTHH!$D38,AC48&lt;&gt;0),TTHH!$H38,0)</f>
        <v>0</v>
      </c>
      <c r="AQ61" s="52" t="s">
        <v>67</v>
      </c>
      <c r="AR61" s="62">
        <v>11.18</v>
      </c>
      <c r="AT61" s="52" t="s">
        <v>82</v>
      </c>
      <c r="AU61" s="62">
        <v>0</v>
      </c>
      <c r="AX61" s="52" t="s">
        <v>41</v>
      </c>
      <c r="AY61" s="56">
        <v>445.97749999999996</v>
      </c>
      <c r="AZ61" s="52">
        <v>1.38</v>
      </c>
      <c r="BA61" s="56">
        <f t="shared" si="10"/>
        <v>615.44894999999985</v>
      </c>
      <c r="BB61" s="52">
        <v>49.43</v>
      </c>
      <c r="BC61" s="56">
        <f t="shared" si="3"/>
        <v>22044.667824999997</v>
      </c>
      <c r="BD61" s="52">
        <v>-6.38</v>
      </c>
      <c r="BE61" s="56">
        <f t="shared" si="11"/>
        <v>-2845.3364499999998</v>
      </c>
      <c r="BF61" s="56">
        <f>IF(AND(AV48&lt;TTHH!$D38,AV48&lt;&gt;0),TTHH!$H38,0)</f>
        <v>0</v>
      </c>
      <c r="BJ61" s="52" t="s">
        <v>34</v>
      </c>
      <c r="BK61" s="62">
        <v>0</v>
      </c>
      <c r="BL61" s="64">
        <f>(BO61/TTHH!$C31)</f>
        <v>0</v>
      </c>
      <c r="BM61" s="65"/>
      <c r="BN61" s="56">
        <f>BM61*TTHH!$C31*'Condición Día D'!$J$8</f>
        <v>0</v>
      </c>
      <c r="BO61" s="32">
        <f>BN61/'Condición Día D'!$J$8</f>
        <v>0</v>
      </c>
      <c r="BS61" s="52" t="s">
        <v>41</v>
      </c>
      <c r="BT61" s="56">
        <v>445.97749999999996</v>
      </c>
      <c r="BU61" s="52">
        <v>1.38</v>
      </c>
      <c r="BV61" s="56">
        <f t="shared" si="12"/>
        <v>615.44894999999985</v>
      </c>
      <c r="BW61" s="52">
        <v>49.43</v>
      </c>
      <c r="BX61" s="56">
        <f t="shared" si="4"/>
        <v>22044.667824999997</v>
      </c>
      <c r="BY61" s="52">
        <v>-6.38</v>
      </c>
      <c r="BZ61" s="56">
        <f t="shared" si="13"/>
        <v>-2845.3364499999998</v>
      </c>
      <c r="CA61" s="56">
        <f>IF(AND(BO68&lt;TTHH!$D38,BO68&lt;&gt;0),TTHH!$H38,0)</f>
        <v>0</v>
      </c>
      <c r="CE61" s="52" t="s">
        <v>41</v>
      </c>
      <c r="CF61" s="56">
        <v>445.97749999999996</v>
      </c>
      <c r="CG61" s="52">
        <v>1.38</v>
      </c>
      <c r="CH61" s="56">
        <f t="shared" si="14"/>
        <v>615.44894999999985</v>
      </c>
      <c r="CI61" s="52">
        <v>49.43</v>
      </c>
      <c r="CJ61" s="56">
        <f t="shared" si="5"/>
        <v>22044.667824999997</v>
      </c>
      <c r="CK61" s="52">
        <v>-6.38</v>
      </c>
      <c r="CL61" s="56">
        <f t="shared" si="15"/>
        <v>-2845.3364499999998</v>
      </c>
      <c r="CM61" s="56">
        <f>IF(AND(BO68&lt;TTHH!$D38,BO68&lt;&gt;0),TTHH!$H38,0)</f>
        <v>0</v>
      </c>
    </row>
    <row r="62" spans="5:91" x14ac:dyDescent="0.3">
      <c r="E62" s="52" t="s">
        <v>68</v>
      </c>
      <c r="F62" s="62">
        <v>39.96</v>
      </c>
      <c r="L62" s="52" t="s">
        <v>42</v>
      </c>
      <c r="M62" s="56">
        <v>0</v>
      </c>
      <c r="N62" s="52">
        <v>1.38</v>
      </c>
      <c r="O62" s="56">
        <f t="shared" si="6"/>
        <v>0</v>
      </c>
      <c r="P62" s="52">
        <v>49.43</v>
      </c>
      <c r="Q62" s="56">
        <f t="shared" si="1"/>
        <v>0</v>
      </c>
      <c r="R62" s="52">
        <v>6.38</v>
      </c>
      <c r="S62" s="56">
        <f t="shared" si="7"/>
        <v>0</v>
      </c>
      <c r="T62" s="56">
        <f>IF(AND(J49&lt;TTHH!$D39,'Análisis Inundación'!J49&lt;&gt;0),TTHH!$H39,0)</f>
        <v>0</v>
      </c>
      <c r="X62" s="52" t="s">
        <v>68</v>
      </c>
      <c r="Y62" s="62">
        <v>39.96</v>
      </c>
      <c r="AE62" s="52" t="s">
        <v>42</v>
      </c>
      <c r="AF62" s="56">
        <v>445.97749999999996</v>
      </c>
      <c r="AG62" s="52">
        <v>1.38</v>
      </c>
      <c r="AH62" s="56">
        <f t="shared" si="8"/>
        <v>615.44894999999985</v>
      </c>
      <c r="AI62" s="52">
        <v>49.43</v>
      </c>
      <c r="AJ62" s="56">
        <f t="shared" si="2"/>
        <v>22044.667824999997</v>
      </c>
      <c r="AK62" s="52">
        <v>6.38</v>
      </c>
      <c r="AL62" s="56">
        <f t="shared" si="9"/>
        <v>2845.3364499999998</v>
      </c>
      <c r="AM62" s="56">
        <f>IF(AND(AC49&lt;TTHH!$D39,AC49&lt;&gt;0),TTHH!$H39,0)</f>
        <v>0</v>
      </c>
      <c r="AQ62" s="52" t="s">
        <v>68</v>
      </c>
      <c r="AR62" s="62">
        <v>39.96</v>
      </c>
      <c r="AX62" s="52" t="s">
        <v>42</v>
      </c>
      <c r="AY62" s="56">
        <v>445.97749999999996</v>
      </c>
      <c r="AZ62" s="52">
        <v>1.38</v>
      </c>
      <c r="BA62" s="56">
        <f t="shared" si="10"/>
        <v>615.44894999999985</v>
      </c>
      <c r="BB62" s="52">
        <v>49.43</v>
      </c>
      <c r="BC62" s="56">
        <f t="shared" si="3"/>
        <v>22044.667824999997</v>
      </c>
      <c r="BD62" s="52">
        <v>6.38</v>
      </c>
      <c r="BE62" s="56">
        <f t="shared" si="11"/>
        <v>2845.3364499999998</v>
      </c>
      <c r="BF62" s="56">
        <f>IF(AND(AV49&lt;TTHH!$D39,AV49&lt;&gt;0),TTHH!$H39,0)</f>
        <v>0</v>
      </c>
      <c r="BJ62" s="52" t="s">
        <v>35</v>
      </c>
      <c r="BK62" s="62">
        <v>1035.0449999999998</v>
      </c>
      <c r="BL62" s="64">
        <f>(BO62/TTHH!$C32)</f>
        <v>1</v>
      </c>
      <c r="BM62" s="65">
        <v>1</v>
      </c>
      <c r="BN62" s="56">
        <f>BM62*TTHH!$C32*'Condición Día D'!$J$8</f>
        <v>1035.0449999999998</v>
      </c>
      <c r="BO62" s="32">
        <f>BN62/'Condición Día D'!$J$8</f>
        <v>1009.8</v>
      </c>
      <c r="BS62" s="52" t="s">
        <v>42</v>
      </c>
      <c r="BT62" s="56">
        <v>0</v>
      </c>
      <c r="BU62" s="52">
        <v>1.38</v>
      </c>
      <c r="BV62" s="56">
        <f t="shared" si="12"/>
        <v>0</v>
      </c>
      <c r="BW62" s="52">
        <v>49.43</v>
      </c>
      <c r="BX62" s="56">
        <f t="shared" si="4"/>
        <v>0</v>
      </c>
      <c r="BY62" s="52">
        <v>6.38</v>
      </c>
      <c r="BZ62" s="56">
        <f t="shared" si="13"/>
        <v>0</v>
      </c>
      <c r="CA62" s="56">
        <f>IF(AND(BO69&lt;TTHH!$D39,BO69&lt;&gt;0),TTHH!$H39,0)</f>
        <v>0</v>
      </c>
      <c r="CE62" s="52" t="s">
        <v>42</v>
      </c>
      <c r="CF62" s="56">
        <v>0</v>
      </c>
      <c r="CG62" s="52">
        <v>1.38</v>
      </c>
      <c r="CH62" s="56">
        <f t="shared" si="14"/>
        <v>0</v>
      </c>
      <c r="CI62" s="52">
        <v>49.43</v>
      </c>
      <c r="CJ62" s="56">
        <f t="shared" si="5"/>
        <v>0</v>
      </c>
      <c r="CK62" s="52">
        <v>6.38</v>
      </c>
      <c r="CL62" s="56">
        <f t="shared" si="15"/>
        <v>0</v>
      </c>
      <c r="CM62" s="56">
        <f>IF(AND(BO69&lt;TTHH!$D39,BO69&lt;&gt;0),TTHH!$H39,0)</f>
        <v>0</v>
      </c>
    </row>
    <row r="63" spans="5:91" x14ac:dyDescent="0.3">
      <c r="E63" s="52" t="s">
        <v>69</v>
      </c>
      <c r="F63" s="62">
        <v>0</v>
      </c>
      <c r="L63" s="52" t="s">
        <v>43</v>
      </c>
      <c r="M63" s="56">
        <v>865.30499999999995</v>
      </c>
      <c r="N63" s="52">
        <v>5.76</v>
      </c>
      <c r="O63" s="56">
        <f t="shared" si="6"/>
        <v>4984.1567999999997</v>
      </c>
      <c r="P63" s="52">
        <v>41</v>
      </c>
      <c r="Q63" s="56">
        <f t="shared" si="1"/>
        <v>35477.504999999997</v>
      </c>
      <c r="R63" s="52">
        <v>-12.97</v>
      </c>
      <c r="S63" s="56">
        <f t="shared" si="7"/>
        <v>-11223.00585</v>
      </c>
      <c r="T63" s="56">
        <f>IF(AND(J50&lt;TTHH!$D40,'Análisis Inundación'!J50&lt;&gt;0),TTHH!$H40,0)</f>
        <v>0</v>
      </c>
      <c r="X63" s="52" t="s">
        <v>69</v>
      </c>
      <c r="Y63" s="62">
        <v>0</v>
      </c>
      <c r="AE63" s="52" t="s">
        <v>43</v>
      </c>
      <c r="AF63" s="56">
        <v>865.30499999999995</v>
      </c>
      <c r="AG63" s="52">
        <v>5.76</v>
      </c>
      <c r="AH63" s="56">
        <f t="shared" si="8"/>
        <v>4984.1567999999997</v>
      </c>
      <c r="AI63" s="52">
        <v>41</v>
      </c>
      <c r="AJ63" s="56">
        <f t="shared" si="2"/>
        <v>35477.504999999997</v>
      </c>
      <c r="AK63" s="52">
        <v>-12.97</v>
      </c>
      <c r="AL63" s="56">
        <f t="shared" si="9"/>
        <v>-11223.00585</v>
      </c>
      <c r="AM63" s="56">
        <f>IF(AND(AC50&lt;TTHH!$D40,AC50&lt;&gt;0),TTHH!$H40,0)</f>
        <v>0</v>
      </c>
      <c r="AQ63" s="52" t="s">
        <v>69</v>
      </c>
      <c r="AR63" s="62">
        <v>0</v>
      </c>
      <c r="AX63" s="52" t="s">
        <v>43</v>
      </c>
      <c r="AY63" s="56">
        <v>865.30499999999995</v>
      </c>
      <c r="AZ63" s="52">
        <v>5.76</v>
      </c>
      <c r="BA63" s="56">
        <f t="shared" si="10"/>
        <v>4984.1567999999997</v>
      </c>
      <c r="BB63" s="52">
        <v>41</v>
      </c>
      <c r="BC63" s="56">
        <f t="shared" si="3"/>
        <v>35477.504999999997</v>
      </c>
      <c r="BD63" s="52">
        <v>-12.97</v>
      </c>
      <c r="BE63" s="56">
        <f t="shared" si="11"/>
        <v>-11223.00585</v>
      </c>
      <c r="BF63" s="56">
        <f>IF(AND(AV50&lt;TTHH!$D40,AV50&lt;&gt;0),TTHH!$H40,0)</f>
        <v>0</v>
      </c>
      <c r="BJ63" s="52" t="s">
        <v>36</v>
      </c>
      <c r="BK63" s="62">
        <v>0</v>
      </c>
      <c r="BL63" s="64">
        <f>(BO63/TTHH!$C33)</f>
        <v>0</v>
      </c>
      <c r="BM63" s="65"/>
      <c r="BN63" s="56">
        <f>BM63*TTHH!$C33*'Condición Día D'!$J$8</f>
        <v>0</v>
      </c>
      <c r="BO63" s="32">
        <f>BN63/'Condición Día D'!$J$8</f>
        <v>0</v>
      </c>
      <c r="BS63" s="52" t="s">
        <v>43</v>
      </c>
      <c r="BT63" s="56">
        <v>865.30499999999995</v>
      </c>
      <c r="BU63" s="52">
        <v>5.76</v>
      </c>
      <c r="BV63" s="56">
        <f t="shared" si="12"/>
        <v>4984.1567999999997</v>
      </c>
      <c r="BW63" s="52">
        <v>41</v>
      </c>
      <c r="BX63" s="56">
        <f t="shared" si="4"/>
        <v>35477.504999999997</v>
      </c>
      <c r="BY63" s="52">
        <v>-12.97</v>
      </c>
      <c r="BZ63" s="56">
        <f t="shared" si="13"/>
        <v>-11223.00585</v>
      </c>
      <c r="CA63" s="56">
        <f>IF(AND(BO70&lt;TTHH!$D40,BO70&lt;&gt;0),TTHH!$H40,0)</f>
        <v>0</v>
      </c>
      <c r="CE63" s="52" t="s">
        <v>43</v>
      </c>
      <c r="CF63" s="56">
        <v>865.30499999999995</v>
      </c>
      <c r="CG63" s="52">
        <v>5.76</v>
      </c>
      <c r="CH63" s="56">
        <f t="shared" si="14"/>
        <v>4984.1567999999997</v>
      </c>
      <c r="CI63" s="52">
        <v>41</v>
      </c>
      <c r="CJ63" s="56">
        <f t="shared" si="5"/>
        <v>35477.504999999997</v>
      </c>
      <c r="CK63" s="52">
        <v>-12.97</v>
      </c>
      <c r="CL63" s="56">
        <f t="shared" si="15"/>
        <v>-11223.00585</v>
      </c>
      <c r="CM63" s="56">
        <f>IF(AND(BO70&lt;TTHH!$D40,BO70&lt;&gt;0),TTHH!$H40,0)</f>
        <v>0</v>
      </c>
    </row>
    <row r="64" spans="5:91" x14ac:dyDescent="0.3">
      <c r="E64" s="52" t="s">
        <v>70</v>
      </c>
      <c r="F64" s="62">
        <v>0</v>
      </c>
      <c r="L64" s="52" t="s">
        <v>44</v>
      </c>
      <c r="M64" s="56">
        <v>0</v>
      </c>
      <c r="N64" s="52">
        <v>5.76</v>
      </c>
      <c r="O64" s="56">
        <f t="shared" si="6"/>
        <v>0</v>
      </c>
      <c r="P64" s="52">
        <v>41</v>
      </c>
      <c r="Q64" s="56">
        <f t="shared" si="1"/>
        <v>0</v>
      </c>
      <c r="R64" s="52">
        <v>12.97</v>
      </c>
      <c r="S64" s="56">
        <f t="shared" si="7"/>
        <v>0</v>
      </c>
      <c r="T64" s="56">
        <f>IF(AND(J51&lt;TTHH!$D41,'Análisis Inundación'!J51&lt;&gt;0),TTHH!$H41,0)</f>
        <v>0</v>
      </c>
      <c r="X64" s="52" t="s">
        <v>70</v>
      </c>
      <c r="Y64" s="62">
        <v>0</v>
      </c>
      <c r="AE64" s="52" t="s">
        <v>44</v>
      </c>
      <c r="AF64" s="56">
        <v>0</v>
      </c>
      <c r="AG64" s="52">
        <v>5.76</v>
      </c>
      <c r="AH64" s="56">
        <f t="shared" si="8"/>
        <v>0</v>
      </c>
      <c r="AI64" s="52">
        <v>41</v>
      </c>
      <c r="AJ64" s="56">
        <f t="shared" si="2"/>
        <v>0</v>
      </c>
      <c r="AK64" s="52">
        <v>12.97</v>
      </c>
      <c r="AL64" s="56">
        <f t="shared" si="9"/>
        <v>0</v>
      </c>
      <c r="AM64" s="56">
        <f>IF(AND(AC51&lt;TTHH!$D41,AC51&lt;&gt;0),TTHH!$H41,0)</f>
        <v>0</v>
      </c>
      <c r="AQ64" s="52" t="s">
        <v>70</v>
      </c>
      <c r="AR64" s="62">
        <v>0</v>
      </c>
      <c r="AX64" s="52" t="s">
        <v>44</v>
      </c>
      <c r="AY64" s="56">
        <v>865.30499999999995</v>
      </c>
      <c r="AZ64" s="52">
        <v>5.76</v>
      </c>
      <c r="BA64" s="56">
        <f t="shared" si="10"/>
        <v>4984.1567999999997</v>
      </c>
      <c r="BB64" s="52">
        <v>41</v>
      </c>
      <c r="BC64" s="56">
        <f t="shared" si="3"/>
        <v>35477.504999999997</v>
      </c>
      <c r="BD64" s="52">
        <v>12.97</v>
      </c>
      <c r="BE64" s="56">
        <f t="shared" si="11"/>
        <v>11223.00585</v>
      </c>
      <c r="BF64" s="56">
        <f>IF(AND(AV51&lt;TTHH!$D41,AV51&lt;&gt;0),TTHH!$H41,0)</f>
        <v>0</v>
      </c>
      <c r="BJ64" s="52" t="s">
        <v>37</v>
      </c>
      <c r="BK64" s="62">
        <v>622.89250000000004</v>
      </c>
      <c r="BL64" s="64">
        <f>(BO64/TTHH!$C34)</f>
        <v>1</v>
      </c>
      <c r="BM64" s="65">
        <v>1</v>
      </c>
      <c r="BN64" s="56">
        <f>BM64*TTHH!$C34*'Condición Día D'!$J$8</f>
        <v>622.89250000000004</v>
      </c>
      <c r="BO64" s="32">
        <f>BN64/'Condición Día D'!$J$8</f>
        <v>607.70000000000005</v>
      </c>
      <c r="BS64" s="52" t="s">
        <v>44</v>
      </c>
      <c r="BT64" s="56">
        <v>0</v>
      </c>
      <c r="BU64" s="52">
        <v>5.76</v>
      </c>
      <c r="BV64" s="56">
        <f t="shared" si="12"/>
        <v>0</v>
      </c>
      <c r="BW64" s="52">
        <v>41</v>
      </c>
      <c r="BX64" s="56">
        <f t="shared" si="4"/>
        <v>0</v>
      </c>
      <c r="BY64" s="52">
        <v>12.97</v>
      </c>
      <c r="BZ64" s="56">
        <f t="shared" si="13"/>
        <v>0</v>
      </c>
      <c r="CA64" s="56">
        <f>IF(AND(BO71&lt;TTHH!$D41,BO71&lt;&gt;0),TTHH!$H41,0)</f>
        <v>0</v>
      </c>
      <c r="CE64" s="52" t="s">
        <v>44</v>
      </c>
      <c r="CF64" s="56">
        <v>0</v>
      </c>
      <c r="CG64" s="52">
        <v>5.76</v>
      </c>
      <c r="CH64" s="56">
        <f t="shared" si="14"/>
        <v>0</v>
      </c>
      <c r="CI64" s="52">
        <v>41</v>
      </c>
      <c r="CJ64" s="56">
        <f t="shared" si="5"/>
        <v>0</v>
      </c>
      <c r="CK64" s="52">
        <v>12.97</v>
      </c>
      <c r="CL64" s="56">
        <f t="shared" si="15"/>
        <v>0</v>
      </c>
      <c r="CM64" s="56">
        <f>IF(AND(BO71&lt;TTHH!$D41,BO71&lt;&gt;0),TTHH!$H41,0)</f>
        <v>0</v>
      </c>
    </row>
    <row r="65" spans="5:91" x14ac:dyDescent="0.3">
      <c r="E65" s="52" t="s">
        <v>71</v>
      </c>
      <c r="F65" s="62">
        <v>0</v>
      </c>
      <c r="L65" s="52" t="s">
        <v>30</v>
      </c>
      <c r="M65" s="56">
        <v>0</v>
      </c>
      <c r="N65" s="52">
        <v>15.71</v>
      </c>
      <c r="O65" s="56">
        <f t="shared" si="6"/>
        <v>0</v>
      </c>
      <c r="P65" s="52">
        <v>42.71</v>
      </c>
      <c r="Q65" s="56">
        <f t="shared" si="1"/>
        <v>0</v>
      </c>
      <c r="R65" s="52">
        <v>-14.54</v>
      </c>
      <c r="S65" s="56">
        <f t="shared" si="7"/>
        <v>0</v>
      </c>
      <c r="T65" s="56">
        <f>IF(AND(J52&lt;TTHH!$D42,'Análisis Inundación'!J52&lt;&gt;0),TTHH!$H42,0)</f>
        <v>0</v>
      </c>
      <c r="X65" s="52" t="s">
        <v>71</v>
      </c>
      <c r="Y65" s="62">
        <v>0</v>
      </c>
      <c r="AE65" s="52" t="s">
        <v>30</v>
      </c>
      <c r="AF65" s="56">
        <v>0</v>
      </c>
      <c r="AG65" s="52">
        <v>15.71</v>
      </c>
      <c r="AH65" s="56">
        <f t="shared" si="8"/>
        <v>0</v>
      </c>
      <c r="AI65" s="52">
        <v>42.71</v>
      </c>
      <c r="AJ65" s="56">
        <f t="shared" si="2"/>
        <v>0</v>
      </c>
      <c r="AK65" s="52">
        <v>-14.54</v>
      </c>
      <c r="AL65" s="56">
        <f t="shared" si="9"/>
        <v>0</v>
      </c>
      <c r="AM65" s="56">
        <f>IF(AND(AC52&lt;TTHH!$D42,AC52&lt;&gt;0),TTHH!$H42,0)</f>
        <v>0</v>
      </c>
      <c r="AQ65" s="52" t="s">
        <v>71</v>
      </c>
      <c r="AR65" s="62">
        <v>0</v>
      </c>
      <c r="AX65" s="52" t="s">
        <v>30</v>
      </c>
      <c r="AY65" s="56">
        <v>0</v>
      </c>
      <c r="AZ65" s="52">
        <v>15.71</v>
      </c>
      <c r="BA65" s="56">
        <f t="shared" si="10"/>
        <v>0</v>
      </c>
      <c r="BB65" s="52">
        <v>42.71</v>
      </c>
      <c r="BC65" s="56">
        <f t="shared" si="3"/>
        <v>0</v>
      </c>
      <c r="BD65" s="52">
        <v>-14.54</v>
      </c>
      <c r="BE65" s="56">
        <f t="shared" si="11"/>
        <v>0</v>
      </c>
      <c r="BF65" s="56">
        <f>IF(AND(AV52&lt;TTHH!$D42,AV52&lt;&gt;0),TTHH!$H42,0)</f>
        <v>0</v>
      </c>
      <c r="BJ65" s="52" t="s">
        <v>38</v>
      </c>
      <c r="BK65" s="62">
        <v>0</v>
      </c>
      <c r="BL65" s="64">
        <f>(BO65/TTHH!$C35)</f>
        <v>0</v>
      </c>
      <c r="BM65" s="65"/>
      <c r="BN65" s="56">
        <f>BM65*TTHH!$C35*'Condición Día D'!$J$8</f>
        <v>0</v>
      </c>
      <c r="BO65" s="32">
        <f>BN65/'Condición Día D'!$J$8</f>
        <v>0</v>
      </c>
      <c r="BS65" s="52" t="s">
        <v>30</v>
      </c>
      <c r="BT65" s="56">
        <v>0</v>
      </c>
      <c r="BU65" s="52">
        <v>15.71</v>
      </c>
      <c r="BV65" s="56">
        <f t="shared" si="12"/>
        <v>0</v>
      </c>
      <c r="BW65" s="52">
        <v>42.71</v>
      </c>
      <c r="BX65" s="56">
        <f t="shared" si="4"/>
        <v>0</v>
      </c>
      <c r="BY65" s="52">
        <v>-14.54</v>
      </c>
      <c r="BZ65" s="56">
        <f t="shared" si="13"/>
        <v>0</v>
      </c>
      <c r="CA65" s="56">
        <f>IF(AND(BO72&lt;TTHH!$D42,BO72&lt;&gt;0),TTHH!$H42,0)</f>
        <v>0</v>
      </c>
      <c r="CE65" s="52" t="s">
        <v>30</v>
      </c>
      <c r="CF65" s="56">
        <v>0</v>
      </c>
      <c r="CG65" s="52">
        <v>15.71</v>
      </c>
      <c r="CH65" s="56">
        <f t="shared" si="14"/>
        <v>0</v>
      </c>
      <c r="CI65" s="52">
        <v>42.71</v>
      </c>
      <c r="CJ65" s="56">
        <f t="shared" si="5"/>
        <v>0</v>
      </c>
      <c r="CK65" s="52">
        <v>-14.54</v>
      </c>
      <c r="CL65" s="56">
        <f t="shared" si="15"/>
        <v>0</v>
      </c>
      <c r="CM65" s="56">
        <f>IF(AND(BO72&lt;TTHH!$D42,BO72&lt;&gt;0),TTHH!$H42,0)</f>
        <v>0</v>
      </c>
    </row>
    <row r="66" spans="5:91" x14ac:dyDescent="0.3">
      <c r="E66" s="52" t="s">
        <v>72</v>
      </c>
      <c r="F66" s="62">
        <v>1.08</v>
      </c>
      <c r="L66" s="52" t="s">
        <v>29</v>
      </c>
      <c r="M66" s="56">
        <v>0</v>
      </c>
      <c r="N66" s="52">
        <v>15.71</v>
      </c>
      <c r="O66" s="56">
        <f t="shared" si="6"/>
        <v>0</v>
      </c>
      <c r="P66" s="52">
        <v>42.71</v>
      </c>
      <c r="Q66" s="56">
        <f t="shared" si="1"/>
        <v>0</v>
      </c>
      <c r="R66" s="52">
        <v>14.54</v>
      </c>
      <c r="S66" s="56">
        <f t="shared" si="7"/>
        <v>0</v>
      </c>
      <c r="T66" s="56">
        <f>IF(AND(J53&lt;TTHH!$D43,'Análisis Inundación'!J53&lt;&gt;0),TTHH!$H43,0)</f>
        <v>0</v>
      </c>
      <c r="X66" s="52" t="s">
        <v>72</v>
      </c>
      <c r="Y66" s="62">
        <v>1.08</v>
      </c>
      <c r="AE66" s="52" t="s">
        <v>29</v>
      </c>
      <c r="AF66" s="56">
        <v>0</v>
      </c>
      <c r="AG66" s="52">
        <v>15.71</v>
      </c>
      <c r="AH66" s="56">
        <f t="shared" si="8"/>
        <v>0</v>
      </c>
      <c r="AI66" s="52">
        <v>42.71</v>
      </c>
      <c r="AJ66" s="56">
        <f t="shared" si="2"/>
        <v>0</v>
      </c>
      <c r="AK66" s="52">
        <v>14.54</v>
      </c>
      <c r="AL66" s="56">
        <f t="shared" si="9"/>
        <v>0</v>
      </c>
      <c r="AM66" s="56">
        <f>IF(AND(AC53&lt;TTHH!$D43,AC53&lt;&gt;0),TTHH!$H43,0)</f>
        <v>0</v>
      </c>
      <c r="AQ66" s="52" t="s">
        <v>72</v>
      </c>
      <c r="AR66" s="62">
        <v>1.08</v>
      </c>
      <c r="AX66" s="52" t="s">
        <v>29</v>
      </c>
      <c r="AY66" s="56">
        <v>0</v>
      </c>
      <c r="AZ66" s="52">
        <v>15.71</v>
      </c>
      <c r="BA66" s="56">
        <f t="shared" si="10"/>
        <v>0</v>
      </c>
      <c r="BB66" s="52">
        <v>42.71</v>
      </c>
      <c r="BC66" s="56">
        <f t="shared" si="3"/>
        <v>0</v>
      </c>
      <c r="BD66" s="52">
        <v>14.54</v>
      </c>
      <c r="BE66" s="56">
        <f t="shared" si="11"/>
        <v>0</v>
      </c>
      <c r="BF66" s="56">
        <f>IF(AND(AV53&lt;TTHH!$D43,AV53&lt;&gt;0),TTHH!$H43,0)</f>
        <v>0</v>
      </c>
      <c r="BJ66" s="52" t="s">
        <v>39</v>
      </c>
      <c r="BK66" s="62">
        <v>1023.0524999999999</v>
      </c>
      <c r="BL66" s="64">
        <f>(BO66/TTHH!$C36)</f>
        <v>1</v>
      </c>
      <c r="BM66" s="65">
        <v>1</v>
      </c>
      <c r="BN66" s="56">
        <f>BM66*TTHH!$C36*'Condición Día D'!$J$8</f>
        <v>1023.0524999999999</v>
      </c>
      <c r="BO66" s="32">
        <f>BN66/'Condición Día D'!$J$8</f>
        <v>998.1</v>
      </c>
      <c r="BS66" s="52" t="s">
        <v>29</v>
      </c>
      <c r="BT66" s="56">
        <v>0</v>
      </c>
      <c r="BU66" s="52">
        <v>15.71</v>
      </c>
      <c r="BV66" s="56">
        <f t="shared" si="12"/>
        <v>0</v>
      </c>
      <c r="BW66" s="52">
        <v>42.71</v>
      </c>
      <c r="BX66" s="56">
        <f t="shared" si="4"/>
        <v>0</v>
      </c>
      <c r="BY66" s="52">
        <v>14.54</v>
      </c>
      <c r="BZ66" s="56">
        <f t="shared" si="13"/>
        <v>0</v>
      </c>
      <c r="CA66" s="56">
        <f>IF(AND(BO73&lt;TTHH!$D43,BO73&lt;&gt;0),TTHH!$H43,0)</f>
        <v>0</v>
      </c>
      <c r="CE66" s="52" t="s">
        <v>29</v>
      </c>
      <c r="CF66" s="56">
        <v>0</v>
      </c>
      <c r="CG66" s="52">
        <v>15.71</v>
      </c>
      <c r="CH66" s="56">
        <f t="shared" si="14"/>
        <v>0</v>
      </c>
      <c r="CI66" s="52">
        <v>42.71</v>
      </c>
      <c r="CJ66" s="56">
        <f t="shared" si="5"/>
        <v>0</v>
      </c>
      <c r="CK66" s="52">
        <v>14.54</v>
      </c>
      <c r="CL66" s="56">
        <f t="shared" si="15"/>
        <v>0</v>
      </c>
      <c r="CM66" s="56">
        <f>IF(AND(BO73&lt;TTHH!$D43,BO73&lt;&gt;0),TTHH!$H43,0)</f>
        <v>0</v>
      </c>
    </row>
    <row r="67" spans="5:91" x14ac:dyDescent="0.3">
      <c r="E67" s="52" t="s">
        <v>73</v>
      </c>
      <c r="F67" s="62">
        <v>0.72000000000000008</v>
      </c>
      <c r="L67" s="52" t="s">
        <v>28</v>
      </c>
      <c r="M67" s="56">
        <v>0</v>
      </c>
      <c r="N67" s="52">
        <v>11.53</v>
      </c>
      <c r="O67" s="56">
        <f t="shared" si="6"/>
        <v>0</v>
      </c>
      <c r="P67" s="52">
        <v>2.33</v>
      </c>
      <c r="Q67" s="56">
        <f t="shared" si="1"/>
        <v>0</v>
      </c>
      <c r="R67" s="52">
        <v>0</v>
      </c>
      <c r="S67" s="56">
        <f t="shared" si="7"/>
        <v>0</v>
      </c>
      <c r="T67" s="56">
        <f>IF(AND(J54&lt;TTHH!$D44,'Análisis Inundación'!J54&lt;&gt;0),TTHH!$H44,0)</f>
        <v>0</v>
      </c>
      <c r="X67" s="52" t="s">
        <v>73</v>
      </c>
      <c r="Y67" s="62">
        <v>0.72000000000000008</v>
      </c>
      <c r="AE67" s="52" t="s">
        <v>28</v>
      </c>
      <c r="AF67" s="56">
        <v>0</v>
      </c>
      <c r="AG67" s="52">
        <v>11.53</v>
      </c>
      <c r="AH67" s="56">
        <f t="shared" si="8"/>
        <v>0</v>
      </c>
      <c r="AI67" s="52">
        <v>2.33</v>
      </c>
      <c r="AJ67" s="56">
        <f t="shared" si="2"/>
        <v>0</v>
      </c>
      <c r="AK67" s="52">
        <v>0</v>
      </c>
      <c r="AL67" s="56">
        <f t="shared" si="9"/>
        <v>0</v>
      </c>
      <c r="AM67" s="56">
        <f>IF(AND(AC54&lt;TTHH!$D44,AC54&lt;&gt;0),TTHH!$H44,0)</f>
        <v>0</v>
      </c>
      <c r="AQ67" s="52" t="s">
        <v>73</v>
      </c>
      <c r="AR67" s="62">
        <v>0.72000000000000008</v>
      </c>
      <c r="AX67" s="52" t="s">
        <v>28</v>
      </c>
      <c r="AY67" s="56">
        <v>658.15249999999992</v>
      </c>
      <c r="AZ67" s="52">
        <v>11.53</v>
      </c>
      <c r="BA67" s="56">
        <f t="shared" si="10"/>
        <v>7588.4983249999987</v>
      </c>
      <c r="BB67" s="52">
        <v>2.33</v>
      </c>
      <c r="BC67" s="56">
        <f t="shared" si="3"/>
        <v>1533.4953249999999</v>
      </c>
      <c r="BD67" s="52">
        <v>0</v>
      </c>
      <c r="BE67" s="56">
        <f t="shared" si="11"/>
        <v>0</v>
      </c>
      <c r="BF67" s="56">
        <f>IF(AND(AV54&lt;TTHH!$D44,AV54&lt;&gt;0),TTHH!$H44,0)</f>
        <v>0</v>
      </c>
      <c r="BJ67" s="52" t="s">
        <v>40</v>
      </c>
      <c r="BK67" s="62">
        <v>0</v>
      </c>
      <c r="BL67" s="64">
        <f>(BO67/TTHH!$C37)</f>
        <v>0</v>
      </c>
      <c r="BM67" s="65"/>
      <c r="BN67" s="56">
        <f>BM67*TTHH!$C37*'Condición Día D'!$J$8</f>
        <v>0</v>
      </c>
      <c r="BO67" s="32">
        <f>BN67/'Condición Día D'!$J$8</f>
        <v>0</v>
      </c>
      <c r="BS67" s="52" t="s">
        <v>28</v>
      </c>
      <c r="BT67" s="56">
        <v>0</v>
      </c>
      <c r="BU67" s="52">
        <v>11.53</v>
      </c>
      <c r="BV67" s="56">
        <f t="shared" si="12"/>
        <v>0</v>
      </c>
      <c r="BW67" s="52">
        <v>2.33</v>
      </c>
      <c r="BX67" s="56">
        <f t="shared" si="4"/>
        <v>0</v>
      </c>
      <c r="BY67" s="52">
        <v>0</v>
      </c>
      <c r="BZ67" s="56">
        <f t="shared" si="13"/>
        <v>0</v>
      </c>
      <c r="CA67" s="56">
        <f>IF(AND(BO74&lt;TTHH!$D44,BO74&lt;&gt;0),TTHH!$H44,0)</f>
        <v>0</v>
      </c>
      <c r="CE67" s="52" t="s">
        <v>28</v>
      </c>
      <c r="CF67" s="56">
        <v>0</v>
      </c>
      <c r="CG67" s="52">
        <v>11.53</v>
      </c>
      <c r="CH67" s="56">
        <f t="shared" si="14"/>
        <v>0</v>
      </c>
      <c r="CI67" s="52">
        <v>2.33</v>
      </c>
      <c r="CJ67" s="56">
        <f t="shared" si="5"/>
        <v>0</v>
      </c>
      <c r="CK67" s="52">
        <v>0</v>
      </c>
      <c r="CL67" s="56">
        <f t="shared" si="15"/>
        <v>0</v>
      </c>
      <c r="CM67" s="56">
        <f>IF(AND(BO74&lt;TTHH!$D44,BO74&lt;&gt;0),TTHH!$H44,0)</f>
        <v>0</v>
      </c>
    </row>
    <row r="68" spans="5:91" x14ac:dyDescent="0.3">
      <c r="E68" s="52" t="s">
        <v>74</v>
      </c>
      <c r="F68" s="62">
        <v>0.72000000000000008</v>
      </c>
      <c r="L68" s="52" t="s">
        <v>27</v>
      </c>
      <c r="M68" s="56">
        <v>0</v>
      </c>
      <c r="N68" s="52">
        <v>10.210000000000001</v>
      </c>
      <c r="O68" s="56">
        <f t="shared" si="6"/>
        <v>0</v>
      </c>
      <c r="P68" s="52">
        <v>101.22</v>
      </c>
      <c r="Q68" s="56">
        <f t="shared" si="1"/>
        <v>0</v>
      </c>
      <c r="R68" s="52">
        <v>0</v>
      </c>
      <c r="S68" s="56">
        <f t="shared" si="7"/>
        <v>0</v>
      </c>
      <c r="T68" s="56">
        <f>IF(AND(J55&lt;TTHH!$D45,'Análisis Inundación'!J55&lt;&gt;0),TTHH!$H45,0)</f>
        <v>0</v>
      </c>
      <c r="X68" s="52" t="s">
        <v>74</v>
      </c>
      <c r="Y68" s="62">
        <v>0.72000000000000008</v>
      </c>
      <c r="AE68" s="52" t="s">
        <v>27</v>
      </c>
      <c r="AF68" s="56">
        <v>0</v>
      </c>
      <c r="AG68" s="52">
        <v>10.210000000000001</v>
      </c>
      <c r="AH68" s="56">
        <f t="shared" si="8"/>
        <v>0</v>
      </c>
      <c r="AI68" s="52">
        <v>101.22</v>
      </c>
      <c r="AJ68" s="56">
        <f t="shared" si="2"/>
        <v>0</v>
      </c>
      <c r="AK68" s="52">
        <v>0</v>
      </c>
      <c r="AL68" s="56">
        <f t="shared" si="9"/>
        <v>0</v>
      </c>
      <c r="AM68" s="56">
        <f>IF(AND(AC55&lt;TTHH!$D45,AC55&lt;&gt;0),TTHH!$H45,0)</f>
        <v>0</v>
      </c>
      <c r="AQ68" s="52" t="s">
        <v>74</v>
      </c>
      <c r="AR68" s="62">
        <v>0.72000000000000008</v>
      </c>
      <c r="AX68" s="52" t="s">
        <v>27</v>
      </c>
      <c r="AY68" s="56">
        <v>0</v>
      </c>
      <c r="AZ68" s="52">
        <v>10.210000000000001</v>
      </c>
      <c r="BA68" s="56">
        <f t="shared" si="10"/>
        <v>0</v>
      </c>
      <c r="BB68" s="52">
        <v>101.22</v>
      </c>
      <c r="BC68" s="56">
        <f t="shared" si="3"/>
        <v>0</v>
      </c>
      <c r="BD68" s="52">
        <v>0</v>
      </c>
      <c r="BE68" s="56">
        <f t="shared" si="11"/>
        <v>0</v>
      </c>
      <c r="BF68" s="56">
        <f>IF(AND(AV55&lt;TTHH!$D45,AV55&lt;&gt;0),TTHH!$H45,0)</f>
        <v>0</v>
      </c>
      <c r="BJ68" s="52" t="s">
        <v>41</v>
      </c>
      <c r="BK68" s="62">
        <v>445.97749999999996</v>
      </c>
      <c r="BL68" s="64">
        <f>(BO68/TTHH!$C38)</f>
        <v>1</v>
      </c>
      <c r="BM68" s="65">
        <v>1</v>
      </c>
      <c r="BN68" s="56">
        <f>BM68*TTHH!$C38*'Condición Día D'!$J$8</f>
        <v>445.97749999999996</v>
      </c>
      <c r="BO68" s="32">
        <f>BN68/'Condición Día D'!$J$8</f>
        <v>435.1</v>
      </c>
      <c r="BS68" s="52" t="s">
        <v>27</v>
      </c>
      <c r="BT68" s="56">
        <v>0</v>
      </c>
      <c r="BU68" s="52">
        <v>10.210000000000001</v>
      </c>
      <c r="BV68" s="56">
        <f t="shared" si="12"/>
        <v>0</v>
      </c>
      <c r="BW68" s="52">
        <v>101.22</v>
      </c>
      <c r="BX68" s="56">
        <f t="shared" si="4"/>
        <v>0</v>
      </c>
      <c r="BY68" s="52">
        <v>0</v>
      </c>
      <c r="BZ68" s="56">
        <f t="shared" si="13"/>
        <v>0</v>
      </c>
      <c r="CA68" s="56">
        <f>IF(AND(BO75&lt;TTHH!$D45,BO75&lt;&gt;0),TTHH!$H45,0)</f>
        <v>0</v>
      </c>
      <c r="CE68" s="52" t="s">
        <v>27</v>
      </c>
      <c r="CF68" s="56">
        <v>0</v>
      </c>
      <c r="CG68" s="52">
        <v>10.210000000000001</v>
      </c>
      <c r="CH68" s="56">
        <f t="shared" si="14"/>
        <v>0</v>
      </c>
      <c r="CI68" s="52">
        <v>101.22</v>
      </c>
      <c r="CJ68" s="56">
        <f t="shared" si="5"/>
        <v>0</v>
      </c>
      <c r="CK68" s="52">
        <v>0</v>
      </c>
      <c r="CL68" s="56">
        <f t="shared" si="15"/>
        <v>0</v>
      </c>
      <c r="CM68" s="56">
        <f>IF(AND(BO75&lt;TTHH!$D45,BO75&lt;&gt;0),TTHH!$H45,0)</f>
        <v>0</v>
      </c>
    </row>
    <row r="69" spans="5:91" x14ac:dyDescent="0.3">
      <c r="L69" s="54" t="s">
        <v>46</v>
      </c>
      <c r="M69" s="38"/>
      <c r="N69" s="38"/>
      <c r="O69" s="38"/>
      <c r="P69" s="38"/>
      <c r="Q69" s="38"/>
      <c r="R69" s="38"/>
      <c r="S69" s="38"/>
      <c r="T69" s="38"/>
      <c r="AE69" s="54" t="s">
        <v>46</v>
      </c>
      <c r="AF69" s="51"/>
      <c r="AG69" s="51">
        <v>0</v>
      </c>
      <c r="AH69" s="51"/>
      <c r="AI69" s="51">
        <v>0</v>
      </c>
      <c r="AJ69" s="51"/>
      <c r="AK69" s="51">
        <v>0</v>
      </c>
      <c r="AL69" s="38"/>
      <c r="AM69" s="38"/>
      <c r="AX69" s="54" t="s">
        <v>46</v>
      </c>
      <c r="AY69" s="51"/>
      <c r="AZ69" s="51">
        <v>0</v>
      </c>
      <c r="BA69" s="51"/>
      <c r="BB69" s="51">
        <v>0</v>
      </c>
      <c r="BC69" s="51"/>
      <c r="BD69" s="51">
        <v>0</v>
      </c>
      <c r="BE69" s="38"/>
      <c r="BF69" s="38"/>
      <c r="BJ69" s="52" t="s">
        <v>42</v>
      </c>
      <c r="BK69" s="62">
        <v>0</v>
      </c>
      <c r="BL69" s="64">
        <f>(BO69/TTHH!$C39)</f>
        <v>0</v>
      </c>
      <c r="BM69" s="65"/>
      <c r="BN69" s="56">
        <f>BM69*TTHH!$C39*'Condición Día D'!$J$8</f>
        <v>0</v>
      </c>
      <c r="BO69" s="32">
        <f>BN69/'Condición Día D'!$J$8</f>
        <v>0</v>
      </c>
      <c r="BS69" s="54" t="s">
        <v>46</v>
      </c>
      <c r="BT69" s="54" t="s">
        <v>3</v>
      </c>
      <c r="BU69" s="54" t="s">
        <v>17</v>
      </c>
      <c r="BV69" s="54" t="s">
        <v>382</v>
      </c>
      <c r="BW69" s="54" t="s">
        <v>15</v>
      </c>
      <c r="BX69" s="54" t="s">
        <v>383</v>
      </c>
      <c r="BY69" s="54" t="s">
        <v>16</v>
      </c>
      <c r="BZ69" s="54" t="s">
        <v>384</v>
      </c>
      <c r="CA69" s="54" t="s">
        <v>4</v>
      </c>
      <c r="CE69" s="54" t="s">
        <v>46</v>
      </c>
      <c r="CF69" s="51"/>
      <c r="CG69" s="51" t="str">
        <v>VCG</v>
      </c>
      <c r="CH69" s="51"/>
      <c r="CI69" s="51" t="str">
        <v>LCG</v>
      </c>
      <c r="CJ69" s="51"/>
      <c r="CK69" s="51" t="str">
        <v>TCG</v>
      </c>
      <c r="CL69" s="38"/>
      <c r="CM69" s="38"/>
    </row>
    <row r="70" spans="5:91" x14ac:dyDescent="0.3">
      <c r="L70" s="52" t="s">
        <v>47</v>
      </c>
      <c r="M70" s="56" cm="1">
        <f t="array" ref="M70:M78">_xlfn.ANCHORARRAY(I11)</f>
        <v>0</v>
      </c>
      <c r="N70" s="52" cm="1">
        <f t="array" ref="N70:N78">Tabla18[[#All],[Columna5]]</f>
        <v>12.56</v>
      </c>
      <c r="O70" s="56">
        <f t="shared" ref="O70:O78" si="16">M70*N70</f>
        <v>0</v>
      </c>
      <c r="P70" s="52" cm="1">
        <f t="array" ref="P70:P78">Tabla18[[#All],[Columna3]]</f>
        <v>23.89</v>
      </c>
      <c r="Q70" s="56">
        <f t="shared" ref="Q70:Q78" si="17">M70*P70</f>
        <v>0</v>
      </c>
      <c r="R70" s="52" cm="1">
        <f t="array" ref="R70:R78">Tabla18[[#All],[Columna4]]</f>
        <v>-9.91</v>
      </c>
      <c r="S70" s="56">
        <f t="shared" ref="S70:S78" si="18">M70*R70</f>
        <v>0</v>
      </c>
      <c r="T70" s="56" cm="1">
        <f t="array" ref="T70:T78">'Condición Día D'!AB43:AB51</f>
        <v>0</v>
      </c>
      <c r="AE70" s="52" t="s">
        <v>47</v>
      </c>
      <c r="AF70" s="56" cm="1">
        <f t="array" ref="AF70:AF78">_xlfn.ANCHORARRAY(AB11)</f>
        <v>0</v>
      </c>
      <c r="AG70" s="52">
        <v>12.56</v>
      </c>
      <c r="AH70" s="56">
        <f t="shared" ref="AH70:AH78" si="19">AF70*AG70</f>
        <v>0</v>
      </c>
      <c r="AI70" s="52">
        <v>23.89</v>
      </c>
      <c r="AJ70" s="56">
        <f t="shared" ref="AJ70:AJ78" si="20">AF70*AI70</f>
        <v>0</v>
      </c>
      <c r="AK70" s="52">
        <v>-9.91</v>
      </c>
      <c r="AL70" s="56">
        <f t="shared" ref="AL70:AL78" si="21">AF70*AK70</f>
        <v>0</v>
      </c>
      <c r="AM70" s="56" cm="1">
        <f t="array" ref="AM70:AM78">_xlfn.ANCHORARRAY(T70)</f>
        <v>0</v>
      </c>
      <c r="AX70" s="52" t="s">
        <v>47</v>
      </c>
      <c r="AY70" s="56" cm="1">
        <f t="array" ref="AY70:AY78">_xlfn.ANCHORARRAY(AU11)</f>
        <v>0</v>
      </c>
      <c r="AZ70" s="52">
        <v>12.56</v>
      </c>
      <c r="BA70" s="56">
        <f t="shared" ref="BA70:BA78" si="22">AY70*AZ70</f>
        <v>0</v>
      </c>
      <c r="BB70" s="52">
        <v>23.89</v>
      </c>
      <c r="BC70" s="56">
        <f t="shared" ref="BC70:BC78" si="23">AY70*BB70</f>
        <v>0</v>
      </c>
      <c r="BD70" s="52">
        <v>-9.91</v>
      </c>
      <c r="BE70" s="56">
        <f t="shared" ref="BE70:BE78" si="24">AY70*BD70</f>
        <v>0</v>
      </c>
      <c r="BF70" s="56" cm="1">
        <f t="array" ref="BF70:BF78">_xlfn.ANCHORARRAY(AM70)</f>
        <v>0</v>
      </c>
      <c r="BJ70" s="52" t="s">
        <v>43</v>
      </c>
      <c r="BK70" s="62">
        <v>865.30499999999995</v>
      </c>
      <c r="BL70" s="64">
        <f>(BO70/TTHH!$C40)</f>
        <v>1</v>
      </c>
      <c r="BM70" s="65">
        <v>1</v>
      </c>
      <c r="BN70" s="56">
        <f>BM70*TTHH!$C40*'Condición Día D'!$J$8</f>
        <v>865.30499999999995</v>
      </c>
      <c r="BO70" s="32">
        <f>BN70/'Condición Día D'!$J$8</f>
        <v>844.2</v>
      </c>
      <c r="BS70" s="52" t="s">
        <v>47</v>
      </c>
      <c r="BT70" s="56" cm="1">
        <f t="array" ref="BT70:BT71">BN31:BN32</f>
        <v>0</v>
      </c>
      <c r="BU70" s="52" cm="1">
        <f t="array" ref="BU70:BU78">AZ70:AZ78</f>
        <v>12.56</v>
      </c>
      <c r="BV70" s="56">
        <f t="shared" ref="BV70:BV78" si="25">BT70*BU70</f>
        <v>0</v>
      </c>
      <c r="BW70" s="52" cm="1">
        <f t="array" ref="BW70:BW78">BB70:BB78</f>
        <v>23.89</v>
      </c>
      <c r="BX70" s="56">
        <f t="shared" ref="BX70:BX78" si="26">BT70*BW70</f>
        <v>0</v>
      </c>
      <c r="BY70" s="52" cm="1">
        <f t="array" ref="BY70:BY78">BD70:BD78</f>
        <v>-9.91</v>
      </c>
      <c r="BZ70" s="56">
        <f t="shared" ref="BZ70:BZ78" si="27">BT70*BY70</f>
        <v>0</v>
      </c>
      <c r="CA70" s="56">
        <f>IF(AND(BO31&lt;TTHH!D53,BO31&lt;&gt;0),TTHH!H53,0)</f>
        <v>0</v>
      </c>
      <c r="CE70" s="52" t="s">
        <v>47</v>
      </c>
      <c r="CF70" s="56" cm="1">
        <f t="array" ref="CF70:CF78">BN31:BN39</f>
        <v>0</v>
      </c>
      <c r="CG70" s="52">
        <v>12.56</v>
      </c>
      <c r="CH70" s="56">
        <f t="shared" ref="CH70:CH78" si="28">CF70*CG70</f>
        <v>0</v>
      </c>
      <c r="CI70" s="52">
        <v>23.89</v>
      </c>
      <c r="CJ70" s="56">
        <f t="shared" ref="CJ70:CJ78" si="29">CF70*CI70</f>
        <v>0</v>
      </c>
      <c r="CK70" s="52">
        <v>-9.91</v>
      </c>
      <c r="CL70" s="56">
        <f t="shared" ref="CL70:CL78" si="30">CF70*CK70</f>
        <v>0</v>
      </c>
      <c r="CM70" s="56">
        <f>IF(AND(BO31&lt;TTHH!D53,BO31&lt;&gt;0),TTHH!H53,0)</f>
        <v>0</v>
      </c>
    </row>
    <row r="71" spans="5:91" x14ac:dyDescent="0.3">
      <c r="E71" s="29" t="s">
        <v>370</v>
      </c>
      <c r="F71" s="40">
        <f ca="1">T112/M112</f>
        <v>1.2591917413070319E-2</v>
      </c>
      <c r="H71" s="29" t="s">
        <v>393</v>
      </c>
      <c r="I71" s="32">
        <f ca="1">IFERROR(O125/M112,"")</f>
        <v>0.54279381859513864</v>
      </c>
      <c r="L71" s="52" t="s">
        <v>48</v>
      </c>
      <c r="M71" s="56">
        <v>0</v>
      </c>
      <c r="N71" s="52">
        <v>12.31</v>
      </c>
      <c r="O71" s="56">
        <f t="shared" si="16"/>
        <v>0</v>
      </c>
      <c r="P71" s="52">
        <v>24.07</v>
      </c>
      <c r="Q71" s="56">
        <f t="shared" si="17"/>
        <v>0</v>
      </c>
      <c r="R71" s="52">
        <v>10.62</v>
      </c>
      <c r="S71" s="56">
        <f t="shared" si="18"/>
        <v>0</v>
      </c>
      <c r="T71" s="56">
        <v>0</v>
      </c>
      <c r="X71" s="29" t="s">
        <v>370</v>
      </c>
      <c r="Y71" s="40">
        <f ca="1">AM112/AF112</f>
        <v>1.2077056509989009E-2</v>
      </c>
      <c r="AA71" s="29" t="s">
        <v>393</v>
      </c>
      <c r="AB71" s="32">
        <f ca="1">IFERROR(AH125/AF112,"")</f>
        <v>0.52059995355765321</v>
      </c>
      <c r="AE71" s="52" t="s">
        <v>48</v>
      </c>
      <c r="AF71" s="56">
        <v>0</v>
      </c>
      <c r="AG71" s="52">
        <v>12.31</v>
      </c>
      <c r="AH71" s="56">
        <f t="shared" si="19"/>
        <v>0</v>
      </c>
      <c r="AI71" s="52">
        <v>24.07</v>
      </c>
      <c r="AJ71" s="56">
        <f t="shared" si="20"/>
        <v>0</v>
      </c>
      <c r="AK71" s="52">
        <v>10.62</v>
      </c>
      <c r="AL71" s="56">
        <f t="shared" si="21"/>
        <v>0</v>
      </c>
      <c r="AM71" s="56">
        <v>0</v>
      </c>
      <c r="AQ71" s="29" t="s">
        <v>370</v>
      </c>
      <c r="AR71" s="40">
        <f ca="1">BF112/AY112</f>
        <v>1.1397746344305709E-2</v>
      </c>
      <c r="AT71" s="29" t="s">
        <v>393</v>
      </c>
      <c r="AU71" s="32">
        <f ca="1">IFERROR(BA125/AY112,"")</f>
        <v>0.4913172520638362</v>
      </c>
      <c r="AX71" s="52" t="s">
        <v>48</v>
      </c>
      <c r="AY71" s="56">
        <v>0</v>
      </c>
      <c r="AZ71" s="52">
        <v>12.31</v>
      </c>
      <c r="BA71" s="56">
        <f t="shared" si="22"/>
        <v>0</v>
      </c>
      <c r="BB71" s="52">
        <v>24.07</v>
      </c>
      <c r="BC71" s="56">
        <f t="shared" si="23"/>
        <v>0</v>
      </c>
      <c r="BD71" s="52">
        <v>10.62</v>
      </c>
      <c r="BE71" s="56">
        <f t="shared" si="24"/>
        <v>0</v>
      </c>
      <c r="BF71" s="56">
        <v>0</v>
      </c>
      <c r="BJ71" s="52" t="s">
        <v>44</v>
      </c>
      <c r="BK71" s="62">
        <v>0</v>
      </c>
      <c r="BL71" s="64">
        <f>(BO71/TTHH!$C41)</f>
        <v>0</v>
      </c>
      <c r="BM71" s="65"/>
      <c r="BN71" s="56">
        <f>BM71*TTHH!$C41*'Condición Día D'!$J$8</f>
        <v>0</v>
      </c>
      <c r="BO71" s="32">
        <f>BN71/'Condición Día D'!$J$8</f>
        <v>0</v>
      </c>
      <c r="BS71" s="52" t="s">
        <v>48</v>
      </c>
      <c r="BT71" s="56">
        <v>0</v>
      </c>
      <c r="BU71" s="52">
        <v>12.31</v>
      </c>
      <c r="BV71" s="56">
        <f t="shared" si="25"/>
        <v>0</v>
      </c>
      <c r="BW71" s="52">
        <v>24.07</v>
      </c>
      <c r="BX71" s="56">
        <f t="shared" si="26"/>
        <v>0</v>
      </c>
      <c r="BY71" s="52">
        <v>10.62</v>
      </c>
      <c r="BZ71" s="56">
        <f t="shared" si="27"/>
        <v>0</v>
      </c>
      <c r="CA71" s="56">
        <f>IF(AND(BO32&lt;TTHH!D54,BO32&lt;&gt;0),TTHH!H54,0)</f>
        <v>0</v>
      </c>
      <c r="CE71" s="52" t="s">
        <v>48</v>
      </c>
      <c r="CF71" s="56">
        <v>0</v>
      </c>
      <c r="CG71" s="52">
        <v>12.31</v>
      </c>
      <c r="CH71" s="56">
        <f t="shared" si="28"/>
        <v>0</v>
      </c>
      <c r="CI71" s="52">
        <v>24.07</v>
      </c>
      <c r="CJ71" s="56">
        <f t="shared" si="29"/>
        <v>0</v>
      </c>
      <c r="CK71" s="52">
        <v>10.62</v>
      </c>
      <c r="CL71" s="56">
        <f t="shared" si="30"/>
        <v>0</v>
      </c>
      <c r="CM71" s="56">
        <f>IF(AND(BO32&lt;TTHH!D54,BO32&lt;&gt;0),TTHH!H54,0)</f>
        <v>0</v>
      </c>
    </row>
    <row r="72" spans="5:91" x14ac:dyDescent="0.3">
      <c r="E72" s="29" t="s">
        <v>390</v>
      </c>
      <c r="F72" s="40">
        <f ca="1">IFERROR(FORECAST(F77, OFFSET(TTHH!CR10, MATCH(F77,Tabla4[[#All],[Columna1]],1)-1, 0, 2), OFFSET(TTHH!CL10, MATCH(F77,Tabla4[[#All],[Columna1]],1)-1, 0, 2)),"")</f>
        <v>8.8502417199647869</v>
      </c>
      <c r="H72" s="29" t="s">
        <v>394</v>
      </c>
      <c r="I72" s="32">
        <f ca="1">IFERROR(0.8*I71,"")</f>
        <v>0.43423505487611092</v>
      </c>
      <c r="L72" s="52" t="s">
        <v>49</v>
      </c>
      <c r="M72" s="56">
        <v>144.57799999999997</v>
      </c>
      <c r="N72" s="52">
        <v>12.38</v>
      </c>
      <c r="O72" s="56">
        <f t="shared" si="16"/>
        <v>1789.8756399999997</v>
      </c>
      <c r="P72" s="52">
        <v>17.920000000000002</v>
      </c>
      <c r="Q72" s="56">
        <f t="shared" si="17"/>
        <v>2590.8377599999999</v>
      </c>
      <c r="R72" s="52">
        <v>-9.4600000000000009</v>
      </c>
      <c r="S72" s="56">
        <f t="shared" si="18"/>
        <v>-1367.7078799999999</v>
      </c>
      <c r="T72" s="56">
        <v>592</v>
      </c>
      <c r="X72" s="29" t="s">
        <v>390</v>
      </c>
      <c r="Y72" s="40">
        <f ca="1">IFERROR(FORECAST(Y77, OFFSET(TTHH!CR10, MATCH(Y77,Tabla4[[#All],[Columna1]],1)-1, 0, 2), OFFSET(TTHH!CL10, MATCH(Y77,Tabla4[[#All],[Columna1]],1)-1, 0, 2)),"")</f>
        <v>8.7086448851838867</v>
      </c>
      <c r="AA72" s="29" t="s">
        <v>394</v>
      </c>
      <c r="AB72" s="32">
        <f ca="1">IFERROR(0.8*AB71,"")</f>
        <v>0.4164799628461226</v>
      </c>
      <c r="AE72" s="52" t="s">
        <v>49</v>
      </c>
      <c r="AF72" s="56">
        <v>144.57799999999997</v>
      </c>
      <c r="AG72" s="52">
        <v>12.38</v>
      </c>
      <c r="AH72" s="56">
        <f t="shared" si="19"/>
        <v>1789.8756399999997</v>
      </c>
      <c r="AI72" s="52">
        <v>17.920000000000002</v>
      </c>
      <c r="AJ72" s="56">
        <f t="shared" si="20"/>
        <v>2590.8377599999999</v>
      </c>
      <c r="AK72" s="52">
        <v>-9.4600000000000009</v>
      </c>
      <c r="AL72" s="56">
        <f t="shared" si="21"/>
        <v>-1367.7078799999999</v>
      </c>
      <c r="AM72" s="56">
        <v>592</v>
      </c>
      <c r="AQ72" s="29" t="s">
        <v>390</v>
      </c>
      <c r="AR72" s="40">
        <f ca="1">IFERROR(FORECAST(AR77, OFFSET(TTHH!CR10, MATCH(AR77,Tabla4[[#All],[Columna1]],1)-1, 0, 2), OFFSET(TTHH!CL10, MATCH(AR77,Tabla4[[#All],[Columna1]],1)-1, 0, 2)),"")</f>
        <v>8.4977519449825785</v>
      </c>
      <c r="AT72" s="29" t="s">
        <v>394</v>
      </c>
      <c r="AU72" s="32">
        <f ca="1">IFERROR(0.8*AU71,"")</f>
        <v>0.39305380165106896</v>
      </c>
      <c r="AX72" s="52" t="s">
        <v>49</v>
      </c>
      <c r="AY72" s="56">
        <v>144.57799999999997</v>
      </c>
      <c r="AZ72" s="52">
        <v>12.38</v>
      </c>
      <c r="BA72" s="56">
        <f t="shared" si="22"/>
        <v>1789.8756399999997</v>
      </c>
      <c r="BB72" s="52">
        <v>17.920000000000002</v>
      </c>
      <c r="BC72" s="56">
        <f t="shared" si="23"/>
        <v>2590.8377599999999</v>
      </c>
      <c r="BD72" s="52">
        <v>-9.4600000000000009</v>
      </c>
      <c r="BE72" s="56">
        <f t="shared" si="24"/>
        <v>-1367.7078799999999</v>
      </c>
      <c r="BF72" s="56">
        <v>592</v>
      </c>
      <c r="BJ72" s="52" t="s">
        <v>30</v>
      </c>
      <c r="BK72" s="62">
        <v>0</v>
      </c>
      <c r="BL72" s="64">
        <f>(BO72/TTHH!$C42)</f>
        <v>0</v>
      </c>
      <c r="BM72" s="65"/>
      <c r="BN72" s="56">
        <f>BM72*TTHH!$C42*'Condición Día D'!$J$8</f>
        <v>0</v>
      </c>
      <c r="BO72" s="32">
        <f>BN72/'Condición Día D'!$J$8</f>
        <v>0</v>
      </c>
      <c r="BS72" s="52" t="s">
        <v>49</v>
      </c>
      <c r="BT72" s="66">
        <v>89.86</v>
      </c>
      <c r="BU72" s="52">
        <v>12.38</v>
      </c>
      <c r="BV72" s="56">
        <f t="shared" si="25"/>
        <v>1112.4668000000001</v>
      </c>
      <c r="BW72" s="52">
        <v>17.920000000000002</v>
      </c>
      <c r="BX72" s="56">
        <f t="shared" si="26"/>
        <v>1610.2912000000001</v>
      </c>
      <c r="BY72" s="52">
        <v>-9.4600000000000009</v>
      </c>
      <c r="BZ72" s="56">
        <f t="shared" si="27"/>
        <v>-850.07560000000012</v>
      </c>
      <c r="CA72" s="66">
        <f>TTHH!H55</f>
        <v>592</v>
      </c>
      <c r="CE72" s="52" t="s">
        <v>49</v>
      </c>
      <c r="CF72" s="56">
        <v>35.097999999999971</v>
      </c>
      <c r="CG72" s="52">
        <v>12.38</v>
      </c>
      <c r="CH72" s="56">
        <f t="shared" si="28"/>
        <v>434.51323999999966</v>
      </c>
      <c r="CI72" s="52">
        <v>17.920000000000002</v>
      </c>
      <c r="CJ72" s="56">
        <f t="shared" si="29"/>
        <v>628.9561599999995</v>
      </c>
      <c r="CK72" s="52">
        <v>-9.4600000000000009</v>
      </c>
      <c r="CL72" s="56">
        <f t="shared" si="30"/>
        <v>-332.02707999999973</v>
      </c>
      <c r="CM72" s="56">
        <f>IF(AND(BO33&lt;TTHH!D55,BO33&lt;&gt;0),TTHH!H55,0)</f>
        <v>592</v>
      </c>
    </row>
    <row r="73" spans="5:91" x14ac:dyDescent="0.3">
      <c r="E73" s="29" t="s">
        <v>391</v>
      </c>
      <c r="F73" s="40">
        <f ca="1">IFERROR(FORECAST(F77, OFFSET(TTHH!P22, MATCH(F77,Tabla22[[#All],[Columna1]],1)-1, 0, 2), OFFSET(TTHH!J22, MATCH(F77,Tabla22[[#All],[Columna1]],1)-1, 0, 2)),"")</f>
        <v>13.703303780633801</v>
      </c>
      <c r="H73" s="29" t="s">
        <v>395</v>
      </c>
      <c r="I73" s="32">
        <f ca="1">IFERROR(F72-M12*SIN(RADIANS(40))-ABS(M14)*COS(RADIANS(40)),"")</f>
        <v>1.6185309717952185</v>
      </c>
      <c r="L73" s="52" t="s">
        <v>50</v>
      </c>
      <c r="M73" s="56">
        <v>450.48999999999995</v>
      </c>
      <c r="N73" s="52">
        <v>12.39</v>
      </c>
      <c r="O73" s="56">
        <f t="shared" si="16"/>
        <v>5581.5711000000001</v>
      </c>
      <c r="P73" s="52">
        <v>17.47</v>
      </c>
      <c r="Q73" s="56">
        <f t="shared" si="17"/>
        <v>7870.0602999999983</v>
      </c>
      <c r="R73" s="52">
        <v>9.93</v>
      </c>
      <c r="S73" s="56">
        <f t="shared" si="18"/>
        <v>4473.3656999999994</v>
      </c>
      <c r="T73" s="56">
        <v>0</v>
      </c>
      <c r="X73" s="29" t="s">
        <v>391</v>
      </c>
      <c r="Y73" s="40">
        <f ca="1">IFERROR(FORECAST(Y77, OFFSET(TTHH!P22, MATCH(Y77,Tabla22[[#All],[Columna1]],1)-1, 0, 2), OFFSET(TTHH!J22, MATCH(Y77,Tabla22[[#All],[Columna1]],1)-1, 0, 2)),"")</f>
        <v>13.688272543607704</v>
      </c>
      <c r="AA73" s="29" t="s">
        <v>395</v>
      </c>
      <c r="AB73" s="32">
        <f ca="1">IFERROR(Y72-AF12*SIN(RADIANS(40))-ABS(AF14)*COS(RADIANS(40)),"")</f>
        <v>1.9616209098189474</v>
      </c>
      <c r="AE73" s="52" t="s">
        <v>50</v>
      </c>
      <c r="AF73" s="56">
        <v>450.48999999999995</v>
      </c>
      <c r="AG73" s="52">
        <v>12.39</v>
      </c>
      <c r="AH73" s="56">
        <f t="shared" si="19"/>
        <v>5581.5711000000001</v>
      </c>
      <c r="AI73" s="52">
        <v>17.47</v>
      </c>
      <c r="AJ73" s="56">
        <f t="shared" si="20"/>
        <v>7870.0602999999983</v>
      </c>
      <c r="AK73" s="52">
        <v>9.93</v>
      </c>
      <c r="AL73" s="56">
        <f t="shared" si="21"/>
        <v>4473.3656999999994</v>
      </c>
      <c r="AM73" s="56">
        <v>0</v>
      </c>
      <c r="AQ73" s="29" t="s">
        <v>391</v>
      </c>
      <c r="AR73" s="40">
        <f ca="1">IFERROR(FORECAST(AR77, OFFSET(TTHH!P22, MATCH(AR77,Tabla22[[#All],[Columna1]],1)-1, 0, 2), OFFSET(TTHH!J22, MATCH(AR77,Tabla22[[#All],[Columna1]],1)-1, 0, 2)),"")</f>
        <v>13.69</v>
      </c>
      <c r="AT73" s="29" t="s">
        <v>395</v>
      </c>
      <c r="AU73" s="32">
        <f ca="1">IFERROR(AR72-AY12*SIN(RADIANS(40))-ABS(AY14)*COS(RADIANS(40)),"")</f>
        <v>2.3414488157123539</v>
      </c>
      <c r="AX73" s="52" t="s">
        <v>50</v>
      </c>
      <c r="AY73" s="56">
        <v>450.48999999999995</v>
      </c>
      <c r="AZ73" s="52">
        <v>12.39</v>
      </c>
      <c r="BA73" s="56">
        <f t="shared" si="22"/>
        <v>5581.5711000000001</v>
      </c>
      <c r="BB73" s="52">
        <v>17.47</v>
      </c>
      <c r="BC73" s="56">
        <f t="shared" si="23"/>
        <v>7870.0602999999983</v>
      </c>
      <c r="BD73" s="52">
        <v>9.93</v>
      </c>
      <c r="BE73" s="56">
        <f t="shared" si="24"/>
        <v>4473.3656999999994</v>
      </c>
      <c r="BF73" s="56">
        <v>0</v>
      </c>
      <c r="BJ73" s="52" t="s">
        <v>29</v>
      </c>
      <c r="BK73" s="62">
        <v>0</v>
      </c>
      <c r="BL73" s="64">
        <f>(BO73/TTHH!$C43)</f>
        <v>0</v>
      </c>
      <c r="BM73" s="65"/>
      <c r="BN73" s="56">
        <f>BM73*TTHH!$C43*'Condición Día D'!$J$8</f>
        <v>0</v>
      </c>
      <c r="BO73" s="32">
        <f>BN73/'Condición Día D'!$J$8</f>
        <v>0</v>
      </c>
      <c r="BS73" s="52" t="s">
        <v>50</v>
      </c>
      <c r="BT73" s="56" cm="1">
        <f t="array" ref="BT73:BT74">BN34:BN35</f>
        <v>450.48999999999995</v>
      </c>
      <c r="BU73" s="52">
        <v>12.39</v>
      </c>
      <c r="BV73" s="56">
        <f t="shared" si="25"/>
        <v>5581.5711000000001</v>
      </c>
      <c r="BW73" s="52">
        <v>17.47</v>
      </c>
      <c r="BX73" s="56">
        <f t="shared" si="26"/>
        <v>7870.0602999999983</v>
      </c>
      <c r="BY73" s="52">
        <v>9.93</v>
      </c>
      <c r="BZ73" s="56">
        <f t="shared" si="27"/>
        <v>4473.3656999999994</v>
      </c>
      <c r="CA73" s="56">
        <f>IF(AND(BO34&lt;TTHH!D56,BO34&lt;&gt;0),TTHH!H56,0)</f>
        <v>0</v>
      </c>
      <c r="CE73" s="52" t="s">
        <v>50</v>
      </c>
      <c r="CF73" s="56">
        <v>450.48999999999995</v>
      </c>
      <c r="CG73" s="52">
        <v>12.39</v>
      </c>
      <c r="CH73" s="56">
        <f t="shared" si="28"/>
        <v>5581.5711000000001</v>
      </c>
      <c r="CI73" s="52">
        <v>17.47</v>
      </c>
      <c r="CJ73" s="56">
        <f t="shared" si="29"/>
        <v>7870.0602999999983</v>
      </c>
      <c r="CK73" s="52">
        <v>9.93</v>
      </c>
      <c r="CL73" s="56">
        <f t="shared" si="30"/>
        <v>4473.3656999999994</v>
      </c>
      <c r="CM73" s="56">
        <f>IF(AND(BO34&lt;TTHH!D56,BO34&lt;&gt;0),TTHH!H56,0)</f>
        <v>0</v>
      </c>
    </row>
    <row r="74" spans="5:91" x14ac:dyDescent="0.3">
      <c r="E74" s="29" t="s">
        <v>392</v>
      </c>
      <c r="F74" s="40">
        <f ca="1">IFERROR(F73-M11,"")</f>
        <v>4.1214345242166992</v>
      </c>
      <c r="H74" s="29" t="s">
        <v>396</v>
      </c>
      <c r="I74" s="32">
        <f ca="1">IFERROR(RADIANS(((I73-I72)*(40-F76))/2),"")</f>
        <v>0.33562259167924957</v>
      </c>
      <c r="L74" s="52" t="s">
        <v>51</v>
      </c>
      <c r="M74" s="56">
        <v>42.94</v>
      </c>
      <c r="N74" s="52">
        <v>13.5</v>
      </c>
      <c r="O74" s="56">
        <f t="shared" si="16"/>
        <v>579.68999999999994</v>
      </c>
      <c r="P74" s="52">
        <v>22.4</v>
      </c>
      <c r="Q74" s="56">
        <f t="shared" si="17"/>
        <v>961.85599999999988</v>
      </c>
      <c r="R74" s="52">
        <v>7.19</v>
      </c>
      <c r="S74" s="56">
        <f t="shared" si="18"/>
        <v>308.73860000000002</v>
      </c>
      <c r="T74" s="56">
        <v>0</v>
      </c>
      <c r="X74" s="29" t="s">
        <v>392</v>
      </c>
      <c r="Y74" s="40">
        <f ca="1">IFERROR(Y73-AF11,"")</f>
        <v>4.4478156208042599</v>
      </c>
      <c r="AA74" s="29" t="s">
        <v>396</v>
      </c>
      <c r="AB74" s="32">
        <f ca="1">IFERROR(RADIANS(((AB73-AB72)*(40-Y76))/2),"")</f>
        <v>0.44909620928922245</v>
      </c>
      <c r="AE74" s="52" t="s">
        <v>51</v>
      </c>
      <c r="AF74" s="56">
        <v>42.94</v>
      </c>
      <c r="AG74" s="52">
        <v>13.5</v>
      </c>
      <c r="AH74" s="56">
        <f t="shared" si="19"/>
        <v>579.68999999999994</v>
      </c>
      <c r="AI74" s="52">
        <v>22.4</v>
      </c>
      <c r="AJ74" s="56">
        <f t="shared" si="20"/>
        <v>961.85599999999988</v>
      </c>
      <c r="AK74" s="52">
        <v>7.19</v>
      </c>
      <c r="AL74" s="56">
        <f t="shared" si="21"/>
        <v>308.73860000000002</v>
      </c>
      <c r="AM74" s="56">
        <v>0</v>
      </c>
      <c r="AQ74" s="29" t="s">
        <v>392</v>
      </c>
      <c r="AR74" s="40">
        <f ca="1">IFERROR(AR73-AY11,"")</f>
        <v>4.3804685643727712</v>
      </c>
      <c r="AT74" s="29" t="s">
        <v>396</v>
      </c>
      <c r="AU74" s="32">
        <f ca="1">IFERROR(RADIANS(((AU73-AU72)*(40-AR76))/2),"")</f>
        <v>0.57102457254366235</v>
      </c>
      <c r="AX74" s="52" t="s">
        <v>51</v>
      </c>
      <c r="AY74" s="56">
        <v>42.94</v>
      </c>
      <c r="AZ74" s="52">
        <v>13.5</v>
      </c>
      <c r="BA74" s="56">
        <f t="shared" si="22"/>
        <v>579.68999999999994</v>
      </c>
      <c r="BB74" s="52">
        <v>22.4</v>
      </c>
      <c r="BC74" s="56">
        <f t="shared" si="23"/>
        <v>961.85599999999988</v>
      </c>
      <c r="BD74" s="52">
        <v>7.19</v>
      </c>
      <c r="BE74" s="56">
        <f t="shared" si="24"/>
        <v>308.73860000000002</v>
      </c>
      <c r="BF74" s="56">
        <v>0</v>
      </c>
      <c r="BJ74" s="52" t="s">
        <v>28</v>
      </c>
      <c r="BK74" s="62">
        <v>0</v>
      </c>
      <c r="BL74" s="64">
        <f>(BO74/TTHH!$C44)</f>
        <v>0</v>
      </c>
      <c r="BM74" s="65"/>
      <c r="BN74" s="56">
        <f>BM74*TTHH!$C44*'Condición Día D'!$J$8</f>
        <v>0</v>
      </c>
      <c r="BO74" s="32">
        <f>BN74/'Condición Día D'!$J$8</f>
        <v>0</v>
      </c>
      <c r="BS74" s="52" t="s">
        <v>51</v>
      </c>
      <c r="BT74" s="56">
        <v>42.94</v>
      </c>
      <c r="BU74" s="52">
        <v>13.5</v>
      </c>
      <c r="BV74" s="56">
        <f t="shared" si="25"/>
        <v>579.68999999999994</v>
      </c>
      <c r="BW74" s="52">
        <v>22.4</v>
      </c>
      <c r="BX74" s="56">
        <f t="shared" si="26"/>
        <v>961.85599999999988</v>
      </c>
      <c r="BY74" s="52">
        <v>7.19</v>
      </c>
      <c r="BZ74" s="56">
        <f t="shared" si="27"/>
        <v>308.73860000000002</v>
      </c>
      <c r="CA74" s="56">
        <f>IF(AND(BO35&lt;TTHH!D57,BO35&lt;&gt;0),TTHH!H57,0)</f>
        <v>0</v>
      </c>
      <c r="CE74" s="52" t="s">
        <v>51</v>
      </c>
      <c r="CF74" s="56">
        <v>42.94</v>
      </c>
      <c r="CG74" s="52">
        <v>13.5</v>
      </c>
      <c r="CH74" s="56">
        <f t="shared" si="28"/>
        <v>579.68999999999994</v>
      </c>
      <c r="CI74" s="52">
        <v>22.4</v>
      </c>
      <c r="CJ74" s="56">
        <f t="shared" si="29"/>
        <v>961.85599999999988</v>
      </c>
      <c r="CK74" s="52">
        <v>7.19</v>
      </c>
      <c r="CL74" s="56">
        <f t="shared" si="30"/>
        <v>308.73860000000002</v>
      </c>
      <c r="CM74" s="56">
        <f>IF(AND(BO35&lt;TTHH!D57,BO35&lt;&gt;0),TTHH!H57,0)</f>
        <v>0</v>
      </c>
    </row>
    <row r="75" spans="5:91" x14ac:dyDescent="0.3">
      <c r="E75" s="29" t="s">
        <v>397</v>
      </c>
      <c r="F75" s="32">
        <f ca="1">IFERROR(ATAN(O125/(M10*M16)),"")</f>
        <v>0.13134330461317581</v>
      </c>
      <c r="L75" s="52" t="s">
        <v>52</v>
      </c>
      <c r="M75" s="56">
        <v>0</v>
      </c>
      <c r="N75" s="52">
        <v>13.5</v>
      </c>
      <c r="O75" s="56">
        <f t="shared" si="16"/>
        <v>0</v>
      </c>
      <c r="P75" s="52">
        <v>20.8</v>
      </c>
      <c r="Q75" s="56">
        <f t="shared" si="17"/>
        <v>0</v>
      </c>
      <c r="R75" s="52">
        <v>7.19</v>
      </c>
      <c r="S75" s="56">
        <f t="shared" si="18"/>
        <v>0</v>
      </c>
      <c r="T75" s="56">
        <v>0</v>
      </c>
      <c r="X75" s="29" t="s">
        <v>397</v>
      </c>
      <c r="Y75" s="32">
        <f ca="1">IFERROR(ATAN(AH125/(AF10*AF16)),"")</f>
        <v>0.11683041541134315</v>
      </c>
      <c r="AE75" s="52" t="s">
        <v>52</v>
      </c>
      <c r="AF75" s="56">
        <v>0</v>
      </c>
      <c r="AG75" s="52">
        <v>13.5</v>
      </c>
      <c r="AH75" s="56">
        <f t="shared" si="19"/>
        <v>0</v>
      </c>
      <c r="AI75" s="52">
        <v>20.8</v>
      </c>
      <c r="AJ75" s="56">
        <f t="shared" si="20"/>
        <v>0</v>
      </c>
      <c r="AK75" s="52">
        <v>7.19</v>
      </c>
      <c r="AL75" s="56">
        <f t="shared" si="21"/>
        <v>0</v>
      </c>
      <c r="AM75" s="56">
        <v>0</v>
      </c>
      <c r="AQ75" s="29" t="s">
        <v>397</v>
      </c>
      <c r="AR75" s="32">
        <f ca="1">IFERROR(ATAN(BA125/(AY10*AY16)),"")</f>
        <v>0.11198303133116001</v>
      </c>
      <c r="AX75" s="52" t="s">
        <v>52</v>
      </c>
      <c r="AY75" s="56">
        <v>0</v>
      </c>
      <c r="AZ75" s="52">
        <v>13.5</v>
      </c>
      <c r="BA75" s="56">
        <f t="shared" si="22"/>
        <v>0</v>
      </c>
      <c r="BB75" s="52">
        <v>20.8</v>
      </c>
      <c r="BC75" s="56">
        <f t="shared" si="23"/>
        <v>0</v>
      </c>
      <c r="BD75" s="52">
        <v>7.19</v>
      </c>
      <c r="BE75" s="56">
        <f t="shared" si="24"/>
        <v>0</v>
      </c>
      <c r="BF75" s="56">
        <v>0</v>
      </c>
      <c r="BJ75" s="52" t="s">
        <v>27</v>
      </c>
      <c r="BK75" s="62">
        <v>0</v>
      </c>
      <c r="BL75" s="64">
        <f>(BO75/TTHH!$C45)</f>
        <v>0</v>
      </c>
      <c r="BM75" s="65"/>
      <c r="BN75" s="56">
        <f>BM75*TTHH!$C45*'Condición Día D'!$J$8</f>
        <v>0</v>
      </c>
      <c r="BO75" s="32">
        <f>BN75/'Condición Día D'!$J$8</f>
        <v>0</v>
      </c>
      <c r="BS75" s="52" t="s">
        <v>52</v>
      </c>
      <c r="BT75" s="66">
        <v>21.47</v>
      </c>
      <c r="BU75" s="52">
        <v>13.5</v>
      </c>
      <c r="BV75" s="56">
        <f t="shared" si="25"/>
        <v>289.84499999999997</v>
      </c>
      <c r="BW75" s="52">
        <v>20.8</v>
      </c>
      <c r="BX75" s="56">
        <f t="shared" si="26"/>
        <v>446.57599999999996</v>
      </c>
      <c r="BY75" s="52">
        <v>7.19</v>
      </c>
      <c r="BZ75" s="56">
        <f t="shared" si="27"/>
        <v>154.36930000000001</v>
      </c>
      <c r="CA75" s="66">
        <v>4</v>
      </c>
      <c r="CE75" s="52" t="s">
        <v>52</v>
      </c>
      <c r="CF75" s="56">
        <v>42.94</v>
      </c>
      <c r="CG75" s="52">
        <v>13.5</v>
      </c>
      <c r="CH75" s="56">
        <f t="shared" si="28"/>
        <v>579.68999999999994</v>
      </c>
      <c r="CI75" s="52">
        <v>20.8</v>
      </c>
      <c r="CJ75" s="56">
        <f t="shared" si="29"/>
        <v>893.15199999999993</v>
      </c>
      <c r="CK75" s="52">
        <v>7.19</v>
      </c>
      <c r="CL75" s="56">
        <f t="shared" si="30"/>
        <v>308.73860000000002</v>
      </c>
      <c r="CM75" s="56">
        <f>IF(AND(BO36&lt;TTHH!D58,BO36&lt;&gt;0),TTHH!H58,0)</f>
        <v>0</v>
      </c>
    </row>
    <row r="76" spans="5:91" x14ac:dyDescent="0.3">
      <c r="E76" s="29" t="s">
        <v>398</v>
      </c>
      <c r="F76" s="32">
        <f ca="1">IFERROR(DEGREES(F75),"")</f>
        <v>7.5254170216361294</v>
      </c>
      <c r="L76" s="52" t="s">
        <v>53</v>
      </c>
      <c r="M76" s="56">
        <v>42.94</v>
      </c>
      <c r="N76" s="52">
        <v>13.5</v>
      </c>
      <c r="O76" s="56">
        <f t="shared" si="16"/>
        <v>579.68999999999994</v>
      </c>
      <c r="P76" s="52">
        <v>24</v>
      </c>
      <c r="Q76" s="56">
        <f t="shared" si="17"/>
        <v>1030.56</v>
      </c>
      <c r="R76" s="52">
        <v>7.19</v>
      </c>
      <c r="S76" s="56">
        <f t="shared" si="18"/>
        <v>308.73860000000002</v>
      </c>
      <c r="T76" s="56">
        <v>0</v>
      </c>
      <c r="X76" s="29" t="s">
        <v>398</v>
      </c>
      <c r="Y76" s="32">
        <f ca="1">IFERROR(DEGREES(Y75),"")</f>
        <v>6.6938897218301321</v>
      </c>
      <c r="AE76" s="52" t="s">
        <v>53</v>
      </c>
      <c r="AF76" s="56">
        <v>42.94</v>
      </c>
      <c r="AG76" s="52">
        <v>13.5</v>
      </c>
      <c r="AH76" s="56">
        <f t="shared" si="19"/>
        <v>579.68999999999994</v>
      </c>
      <c r="AI76" s="52">
        <v>24</v>
      </c>
      <c r="AJ76" s="56">
        <f t="shared" si="20"/>
        <v>1030.56</v>
      </c>
      <c r="AK76" s="52">
        <v>7.19</v>
      </c>
      <c r="AL76" s="56">
        <f t="shared" si="21"/>
        <v>308.73860000000002</v>
      </c>
      <c r="AM76" s="56">
        <v>0</v>
      </c>
      <c r="AQ76" s="29" t="s">
        <v>398</v>
      </c>
      <c r="AR76" s="32">
        <f ca="1">IFERROR(DEGREES(AR75),"")</f>
        <v>6.4161550723567338</v>
      </c>
      <c r="AX76" s="52" t="s">
        <v>53</v>
      </c>
      <c r="AY76" s="56">
        <v>42.94</v>
      </c>
      <c r="AZ76" s="52">
        <v>13.5</v>
      </c>
      <c r="BA76" s="56">
        <f t="shared" si="22"/>
        <v>579.68999999999994</v>
      </c>
      <c r="BB76" s="52">
        <v>24</v>
      </c>
      <c r="BC76" s="56">
        <f t="shared" si="23"/>
        <v>1030.56</v>
      </c>
      <c r="BD76" s="52">
        <v>7.19</v>
      </c>
      <c r="BE76" s="56">
        <f t="shared" si="24"/>
        <v>308.73860000000002</v>
      </c>
      <c r="BF76" s="56">
        <v>0</v>
      </c>
      <c r="BS76" s="52" t="s">
        <v>53</v>
      </c>
      <c r="BT76" s="56">
        <f>BN37</f>
        <v>42.94</v>
      </c>
      <c r="BU76" s="52">
        <v>13.5</v>
      </c>
      <c r="BV76" s="56">
        <f t="shared" si="25"/>
        <v>579.68999999999994</v>
      </c>
      <c r="BW76" s="52">
        <v>24</v>
      </c>
      <c r="BX76" s="56">
        <f t="shared" si="26"/>
        <v>1030.56</v>
      </c>
      <c r="BY76" s="52">
        <v>7.19</v>
      </c>
      <c r="BZ76" s="56">
        <f t="shared" si="27"/>
        <v>308.73860000000002</v>
      </c>
      <c r="CA76" s="56">
        <f>IF(AND(BO37&lt;TTHH!D59,BO37&lt;&gt;0),TTHH!H59,0)</f>
        <v>0</v>
      </c>
      <c r="CE76" s="52" t="s">
        <v>53</v>
      </c>
      <c r="CF76" s="56">
        <v>42.94</v>
      </c>
      <c r="CG76" s="52">
        <v>13.5</v>
      </c>
      <c r="CH76" s="56">
        <f t="shared" si="28"/>
        <v>579.68999999999994</v>
      </c>
      <c r="CI76" s="52">
        <v>24</v>
      </c>
      <c r="CJ76" s="56">
        <f t="shared" si="29"/>
        <v>1030.56</v>
      </c>
      <c r="CK76" s="52">
        <v>7.19</v>
      </c>
      <c r="CL76" s="56">
        <f t="shared" si="30"/>
        <v>308.73860000000002</v>
      </c>
      <c r="CM76" s="56">
        <f>IF(AND(BO37&lt;TTHH!D59,BO37&lt;&gt;0),TTHH!H59,0)</f>
        <v>0</v>
      </c>
    </row>
    <row r="77" spans="5:91" x14ac:dyDescent="0.3">
      <c r="E77" s="29" t="s">
        <v>597</v>
      </c>
      <c r="F77" s="32">
        <f ca="1">IFERROR(FORECAST(M10, OFFSET(TTHH!$J$22,MATCH(M10,TTHH!$K$22:$K$129,1)-1,0,2), OFFSET(TTHH!$K$22,MATCH(M10,TTHH!$K$22:$K$129,1)-1,0,2)),0)</f>
        <v>11.766962193661973</v>
      </c>
      <c r="L77" s="52" t="s">
        <v>54</v>
      </c>
      <c r="M77" s="56">
        <v>8.5879999999999992</v>
      </c>
      <c r="N77" s="52">
        <v>13.5</v>
      </c>
      <c r="O77" s="56">
        <f t="shared" si="16"/>
        <v>115.93799999999999</v>
      </c>
      <c r="P77" s="52">
        <v>19.2</v>
      </c>
      <c r="Q77" s="56">
        <f t="shared" si="17"/>
        <v>164.88959999999997</v>
      </c>
      <c r="R77" s="52">
        <v>7.19</v>
      </c>
      <c r="S77" s="56">
        <f t="shared" si="18"/>
        <v>61.747720000000001</v>
      </c>
      <c r="T77" s="56">
        <v>4</v>
      </c>
      <c r="X77" s="29" t="s">
        <v>597</v>
      </c>
      <c r="Y77" s="32">
        <f ca="1">IFERROR(FORECAST(AF10, OFFSET(TTHH!$J$22,MATCH(AF10,TTHH!$K$22:$K$129,1)-1,0,2), OFFSET(TTHH!$K$22,MATCH(AF10,TTHH!$K$22:$K$129,1)-1,0,2)),0)</f>
        <v>12.217274563922944</v>
      </c>
      <c r="AE77" s="52" t="s">
        <v>54</v>
      </c>
      <c r="AF77" s="56">
        <v>8.5879999999999992</v>
      </c>
      <c r="AG77" s="52">
        <v>13.5</v>
      </c>
      <c r="AH77" s="56">
        <f t="shared" si="19"/>
        <v>115.93799999999999</v>
      </c>
      <c r="AI77" s="52">
        <v>19.2</v>
      </c>
      <c r="AJ77" s="56">
        <f t="shared" si="20"/>
        <v>164.88959999999997</v>
      </c>
      <c r="AK77" s="52">
        <v>7.19</v>
      </c>
      <c r="AL77" s="56">
        <f t="shared" si="21"/>
        <v>61.747720000000001</v>
      </c>
      <c r="AM77" s="56">
        <v>4</v>
      </c>
      <c r="AQ77" s="29" t="s">
        <v>597</v>
      </c>
      <c r="AR77" s="32">
        <f ca="1">IFERROR(FORECAST(AY10, OFFSET(TTHH!$J$22,MATCH(AY10,TTHH!$K$22:$K$129,1)-1,0,2), OFFSET(TTHH!$K$22,MATCH(AY10,TTHH!$K$22:$K$129,1)-1,0,2)),0)</f>
        <v>12.870448651567946</v>
      </c>
      <c r="AX77" s="52" t="s">
        <v>54</v>
      </c>
      <c r="AY77" s="56">
        <v>8.5879999999999992</v>
      </c>
      <c r="AZ77" s="52">
        <v>13.5</v>
      </c>
      <c r="BA77" s="56">
        <f t="shared" si="22"/>
        <v>115.93799999999999</v>
      </c>
      <c r="BB77" s="52">
        <v>19.2</v>
      </c>
      <c r="BC77" s="56">
        <f t="shared" si="23"/>
        <v>164.88959999999997</v>
      </c>
      <c r="BD77" s="52">
        <v>7.19</v>
      </c>
      <c r="BE77" s="56">
        <f t="shared" si="24"/>
        <v>61.747720000000001</v>
      </c>
      <c r="BF77" s="56">
        <v>4</v>
      </c>
      <c r="BS77" s="52" t="s">
        <v>54</v>
      </c>
      <c r="BT77" s="66">
        <v>25.774999999999999</v>
      </c>
      <c r="BU77" s="52">
        <v>13.5</v>
      </c>
      <c r="BV77" s="56">
        <f t="shared" si="25"/>
        <v>347.96249999999998</v>
      </c>
      <c r="BW77" s="52">
        <v>19.2</v>
      </c>
      <c r="BX77" s="56">
        <f t="shared" si="26"/>
        <v>494.87999999999994</v>
      </c>
      <c r="BY77" s="52">
        <v>7.19</v>
      </c>
      <c r="BZ77" s="56">
        <f t="shared" si="27"/>
        <v>185.32225</v>
      </c>
      <c r="CA77" s="66">
        <v>4</v>
      </c>
      <c r="CE77" s="52" t="s">
        <v>54</v>
      </c>
      <c r="CF77" s="56">
        <v>42.938000000000002</v>
      </c>
      <c r="CG77" s="52">
        <v>13.5</v>
      </c>
      <c r="CH77" s="56">
        <f t="shared" si="28"/>
        <v>579.66300000000001</v>
      </c>
      <c r="CI77" s="52">
        <v>19.2</v>
      </c>
      <c r="CJ77" s="56">
        <f t="shared" si="29"/>
        <v>824.40960000000007</v>
      </c>
      <c r="CK77" s="52">
        <v>7.19</v>
      </c>
      <c r="CL77" s="56">
        <f t="shared" si="30"/>
        <v>308.72422000000006</v>
      </c>
      <c r="CM77" s="56">
        <f>IF(AND(BO38&lt;TTHH!D60,BO38&lt;&gt;0),TTHH!H60,0)</f>
        <v>0</v>
      </c>
    </row>
    <row r="78" spans="5:91" x14ac:dyDescent="0.3">
      <c r="L78" s="52" t="s">
        <v>55</v>
      </c>
      <c r="M78" s="56">
        <v>4.3890000000000002</v>
      </c>
      <c r="N78" s="52">
        <v>1.31</v>
      </c>
      <c r="O78" s="56">
        <f t="shared" si="16"/>
        <v>5.7495900000000004</v>
      </c>
      <c r="P78" s="52">
        <v>22.69</v>
      </c>
      <c r="Q78" s="56">
        <f t="shared" si="17"/>
        <v>99.586410000000015</v>
      </c>
      <c r="R78" s="52">
        <v>3.19</v>
      </c>
      <c r="S78" s="56">
        <f t="shared" si="18"/>
        <v>14.000910000000001</v>
      </c>
      <c r="T78" s="56">
        <v>27</v>
      </c>
      <c r="AE78" s="52" t="s">
        <v>55</v>
      </c>
      <c r="AF78" s="56">
        <v>4.3890000000000002</v>
      </c>
      <c r="AG78" s="52">
        <v>1.31</v>
      </c>
      <c r="AH78" s="56">
        <f t="shared" si="19"/>
        <v>5.7495900000000004</v>
      </c>
      <c r="AI78" s="52">
        <v>22.69</v>
      </c>
      <c r="AJ78" s="56">
        <f t="shared" si="20"/>
        <v>99.586410000000015</v>
      </c>
      <c r="AK78" s="52">
        <v>3.19</v>
      </c>
      <c r="AL78" s="56">
        <f t="shared" si="21"/>
        <v>14.000910000000001</v>
      </c>
      <c r="AM78" s="56">
        <v>27</v>
      </c>
      <c r="AX78" s="52" t="s">
        <v>55</v>
      </c>
      <c r="AY78" s="56">
        <v>4.3890000000000002</v>
      </c>
      <c r="AZ78" s="52">
        <v>1.31</v>
      </c>
      <c r="BA78" s="56">
        <f t="shared" si="22"/>
        <v>5.7495900000000004</v>
      </c>
      <c r="BB78" s="52">
        <v>22.69</v>
      </c>
      <c r="BC78" s="56">
        <f t="shared" si="23"/>
        <v>99.586410000000015</v>
      </c>
      <c r="BD78" s="52">
        <v>3.19</v>
      </c>
      <c r="BE78" s="56">
        <f t="shared" si="24"/>
        <v>14.000910000000001</v>
      </c>
      <c r="BF78" s="56">
        <v>27</v>
      </c>
      <c r="BJ78" s="54" t="s">
        <v>63</v>
      </c>
      <c r="BK78" s="52" t="s">
        <v>603</v>
      </c>
      <c r="BL78" s="52" t="s">
        <v>628</v>
      </c>
      <c r="BM78" s="52" t="s">
        <v>631</v>
      </c>
      <c r="BN78" s="52" t="s">
        <v>629</v>
      </c>
      <c r="BO78" s="52" t="s">
        <v>630</v>
      </c>
      <c r="BP78" s="52" t="s">
        <v>632</v>
      </c>
      <c r="BS78" s="52" t="s">
        <v>55</v>
      </c>
      <c r="BT78" s="66">
        <v>20.495000000000001</v>
      </c>
      <c r="BU78" s="52">
        <v>1.31</v>
      </c>
      <c r="BV78" s="56">
        <f t="shared" si="25"/>
        <v>26.848450000000003</v>
      </c>
      <c r="BW78" s="52">
        <v>22.69</v>
      </c>
      <c r="BX78" s="56">
        <f t="shared" si="26"/>
        <v>465.03155000000004</v>
      </c>
      <c r="BY78" s="52">
        <v>3.19</v>
      </c>
      <c r="BZ78" s="56">
        <f t="shared" si="27"/>
        <v>65.379050000000007</v>
      </c>
      <c r="CA78" s="66">
        <v>27</v>
      </c>
      <c r="CE78" s="52" t="s">
        <v>55</v>
      </c>
      <c r="CF78" s="56">
        <v>36.579000000000001</v>
      </c>
      <c r="CG78" s="52">
        <v>1.31</v>
      </c>
      <c r="CH78" s="56">
        <f t="shared" si="28"/>
        <v>47.918490000000006</v>
      </c>
      <c r="CI78" s="52">
        <v>22.69</v>
      </c>
      <c r="CJ78" s="56">
        <f t="shared" si="29"/>
        <v>829.97751000000005</v>
      </c>
      <c r="CK78" s="52">
        <v>3.19</v>
      </c>
      <c r="CL78" s="56">
        <f t="shared" si="30"/>
        <v>116.68701</v>
      </c>
      <c r="CM78" s="56">
        <f>IF(AND(BO39&lt;TTHH!D61,BO39&lt;&gt;0),TTHH!H61,0)</f>
        <v>0</v>
      </c>
    </row>
    <row r="79" spans="5:91" x14ac:dyDescent="0.3">
      <c r="L79" s="54" t="s">
        <v>57</v>
      </c>
      <c r="M79" s="38"/>
      <c r="N79" s="38"/>
      <c r="O79" s="38"/>
      <c r="P79" s="38"/>
      <c r="Q79" s="38"/>
      <c r="R79" s="38"/>
      <c r="S79" s="38"/>
      <c r="T79" s="38"/>
      <c r="AE79" s="54" t="s">
        <v>57</v>
      </c>
      <c r="AF79" s="38"/>
      <c r="AG79" s="51">
        <v>0</v>
      </c>
      <c r="AH79" s="51"/>
      <c r="AI79" s="51">
        <v>0</v>
      </c>
      <c r="AJ79" s="51"/>
      <c r="AK79" s="51">
        <v>0</v>
      </c>
      <c r="AL79" s="38"/>
      <c r="AM79" s="38"/>
      <c r="AX79" s="54" t="s">
        <v>57</v>
      </c>
      <c r="AY79" s="38"/>
      <c r="AZ79" s="51">
        <v>0</v>
      </c>
      <c r="BA79" s="51"/>
      <c r="BB79" s="51">
        <v>0</v>
      </c>
      <c r="BC79" s="51"/>
      <c r="BD79" s="51">
        <v>0</v>
      </c>
      <c r="BE79" s="38"/>
      <c r="BF79" s="38"/>
      <c r="BJ79" s="52" t="s">
        <v>65</v>
      </c>
      <c r="BK79" s="62" cm="1">
        <f t="array" ref="BK79:BK88">_xlfn.ANCHORARRAY(AR59)</f>
        <v>17.100000000000001</v>
      </c>
      <c r="BL79" s="62">
        <f>('Carga y Reparto'!P63/TTHH!C80)*100</f>
        <v>100</v>
      </c>
      <c r="BM79" s="66"/>
      <c r="BN79" s="56">
        <f>BK79+BM79</f>
        <v>17.100000000000001</v>
      </c>
      <c r="BO79" s="56">
        <f>IFERROR(BN79/'Carga y Reparto'!Q63,0)</f>
        <v>17.100000000000001</v>
      </c>
      <c r="BP79" s="52">
        <f>TTHH!C80</f>
        <v>17.100000000000001</v>
      </c>
      <c r="BS79" s="54" t="s">
        <v>57</v>
      </c>
      <c r="BT79" s="38"/>
      <c r="BU79" s="51"/>
      <c r="BV79" s="51"/>
      <c r="BW79" s="51"/>
      <c r="BX79" s="51"/>
      <c r="BY79" s="51"/>
      <c r="BZ79" s="38"/>
      <c r="CA79" s="38"/>
      <c r="CE79" s="54" t="s">
        <v>57</v>
      </c>
      <c r="CF79" s="38"/>
      <c r="CG79" s="51">
        <v>0</v>
      </c>
      <c r="CH79" s="51"/>
      <c r="CI79" s="51">
        <v>0</v>
      </c>
      <c r="CJ79" s="51"/>
      <c r="CK79" s="51">
        <v>0</v>
      </c>
      <c r="CL79" s="38"/>
      <c r="CM79" s="38"/>
    </row>
    <row r="80" spans="5:91" x14ac:dyDescent="0.3">
      <c r="L80" s="52" t="s">
        <v>58</v>
      </c>
      <c r="M80" s="56" cm="1">
        <f t="array" ref="M80:M83">_xlfn.ANCHORARRAY(F19)</f>
        <v>141.52500000000001</v>
      </c>
      <c r="N80" s="52" cm="1">
        <f t="array" ref="N80:N83">Tabla19[[#All],[Columna5]]</f>
        <v>15.65</v>
      </c>
      <c r="O80" s="56">
        <f>M80*N80</f>
        <v>2214.86625</v>
      </c>
      <c r="P80" s="52" cm="1">
        <f t="array" ref="P80:P83">Tabla19[[#All],[Columna3]]</f>
        <v>14.2</v>
      </c>
      <c r="Q80" s="56">
        <f>M80*P80</f>
        <v>2009.655</v>
      </c>
      <c r="R80" s="52" cm="1">
        <f t="array" ref="R80:R83">Tabla19[[#All],[Columna4]]</f>
        <v>11.76</v>
      </c>
      <c r="S80" s="56">
        <f>M80*R80</f>
        <v>1664.3340000000001</v>
      </c>
      <c r="T80" s="56" cm="1">
        <f t="array" ref="T80:T83">'Condición Día D'!AB53:AB56</f>
        <v>0</v>
      </c>
      <c r="AE80" s="52" t="s">
        <v>58</v>
      </c>
      <c r="AF80" s="56" cm="1">
        <f t="array" ref="AF80:AF83">_xlfn.ANCHORARRAY(Y19)</f>
        <v>141.52500000000001</v>
      </c>
      <c r="AG80" s="52">
        <v>15.65</v>
      </c>
      <c r="AH80" s="56">
        <f>AF80*AG80</f>
        <v>2214.86625</v>
      </c>
      <c r="AI80" s="52">
        <v>14.2</v>
      </c>
      <c r="AJ80" s="56">
        <f>AF80*AI80</f>
        <v>2009.655</v>
      </c>
      <c r="AK80" s="52">
        <v>11.76</v>
      </c>
      <c r="AL80" s="56">
        <f>AF80*AK80</f>
        <v>1664.3340000000001</v>
      </c>
      <c r="AM80" s="56" cm="1">
        <f t="array" ref="AM80:AM83">_xlfn.ANCHORARRAY(T80)</f>
        <v>0</v>
      </c>
      <c r="AX80" s="52" t="s">
        <v>58</v>
      </c>
      <c r="AY80" s="56" cm="1">
        <f t="array" ref="AY80:AY83">_xlfn.ANCHORARRAY(AR19)</f>
        <v>141.52500000000001</v>
      </c>
      <c r="AZ80" s="52">
        <v>15.65</v>
      </c>
      <c r="BA80" s="56">
        <f>AY80*AZ80</f>
        <v>2214.86625</v>
      </c>
      <c r="BB80" s="52">
        <v>14.2</v>
      </c>
      <c r="BC80" s="56">
        <f>AY80*BB80</f>
        <v>2009.655</v>
      </c>
      <c r="BD80" s="52">
        <v>11.76</v>
      </c>
      <c r="BE80" s="56">
        <f>AY80*BD80</f>
        <v>1664.3340000000001</v>
      </c>
      <c r="BF80" s="56" cm="1">
        <f t="array" ref="BF80:BF83">_xlfn.ANCHORARRAY(AM80)</f>
        <v>0</v>
      </c>
      <c r="BJ80" s="52" t="s">
        <v>66</v>
      </c>
      <c r="BK80" s="62">
        <v>16.829999999999998</v>
      </c>
      <c r="BL80" s="62">
        <f>('Carga y Reparto'!P64/TTHH!C81)*100</f>
        <v>100</v>
      </c>
      <c r="BM80" s="66"/>
      <c r="BN80" s="56">
        <f t="shared" ref="BN80:BN88" si="31">BK80+BM80</f>
        <v>16.829999999999998</v>
      </c>
      <c r="BO80" s="56">
        <f>IFERROR(BN80/'Carga y Reparto'!Q64,0)</f>
        <v>18.7</v>
      </c>
      <c r="BP80" s="52">
        <f>TTHH!C81</f>
        <v>18.7</v>
      </c>
      <c r="BS80" s="52" t="s">
        <v>58</v>
      </c>
      <c r="BT80" s="56" cm="1">
        <f t="array" ref="BT80:BT83">BN19:BN22</f>
        <v>141.52500000000001</v>
      </c>
      <c r="BU80" s="52" cm="1">
        <f t="array" ref="BU80:BU83">AZ80:AZ83</f>
        <v>15.65</v>
      </c>
      <c r="BV80" s="56">
        <f>BT80*BU80</f>
        <v>2214.86625</v>
      </c>
      <c r="BW80" s="52" cm="1">
        <f t="array" ref="BW80:BW83">BB80:BB83</f>
        <v>14.2</v>
      </c>
      <c r="BX80" s="56">
        <f>BT80*BW80</f>
        <v>2009.655</v>
      </c>
      <c r="BY80" s="52" cm="1">
        <f t="array" ref="BY80:BY83">BD80:BD83</f>
        <v>11.76</v>
      </c>
      <c r="BZ80" s="56">
        <f>BT80*BY80</f>
        <v>1664.3340000000001</v>
      </c>
      <c r="CA80" s="56">
        <f>IF(AND(BO19&lt;TTHH!D69,BO19&lt;&gt;0),TTHH!H69,0)</f>
        <v>0</v>
      </c>
      <c r="CE80" s="52" t="s">
        <v>58</v>
      </c>
      <c r="CF80" s="56" cm="1">
        <f t="array" ref="CF80:CF83">BN19:BN22</f>
        <v>141.52500000000001</v>
      </c>
      <c r="CG80" s="52">
        <v>15.65</v>
      </c>
      <c r="CH80" s="56">
        <f>CF80*CG80</f>
        <v>2214.86625</v>
      </c>
      <c r="CI80" s="52">
        <v>14.2</v>
      </c>
      <c r="CJ80" s="56">
        <f>CF80*CI80</f>
        <v>2009.655</v>
      </c>
      <c r="CK80" s="52">
        <v>11.76</v>
      </c>
      <c r="CL80" s="56">
        <f>CF80*CK80</f>
        <v>1664.3340000000001</v>
      </c>
      <c r="CM80" s="56">
        <f>IF(AND(BO19&lt;TTHH!D69,BO19&lt;&gt;0),TTHH!H69,0)</f>
        <v>0</v>
      </c>
    </row>
    <row r="81" spans="12:91" x14ac:dyDescent="0.3">
      <c r="L81" s="52" t="s">
        <v>59</v>
      </c>
      <c r="M81" s="56">
        <v>3.4864999999999995</v>
      </c>
      <c r="N81" s="52">
        <v>15.75</v>
      </c>
      <c r="O81" s="56">
        <f>M81*N81</f>
        <v>54.91237499999999</v>
      </c>
      <c r="P81" s="52">
        <v>15.2</v>
      </c>
      <c r="Q81" s="56">
        <f>M81*P81</f>
        <v>52.994799999999991</v>
      </c>
      <c r="R81" s="52">
        <v>7.19</v>
      </c>
      <c r="S81" s="56">
        <f>M81*R81</f>
        <v>25.067934999999999</v>
      </c>
      <c r="T81" s="56">
        <v>4</v>
      </c>
      <c r="AE81" s="52" t="s">
        <v>59</v>
      </c>
      <c r="AF81" s="56">
        <v>3.4864999999999995</v>
      </c>
      <c r="AG81" s="52">
        <v>15.75</v>
      </c>
      <c r="AH81" s="56">
        <f>AF81*AG81</f>
        <v>54.91237499999999</v>
      </c>
      <c r="AI81" s="52">
        <v>15.2</v>
      </c>
      <c r="AJ81" s="56">
        <f>AF81*AI81</f>
        <v>52.994799999999991</v>
      </c>
      <c r="AK81" s="52">
        <v>7.19</v>
      </c>
      <c r="AL81" s="56">
        <f>AF81*AK81</f>
        <v>25.067934999999999</v>
      </c>
      <c r="AM81" s="56">
        <v>4</v>
      </c>
      <c r="AX81" s="52" t="s">
        <v>59</v>
      </c>
      <c r="AY81" s="56">
        <v>3.4864999999999995</v>
      </c>
      <c r="AZ81" s="52">
        <v>15.75</v>
      </c>
      <c r="BA81" s="56">
        <f>AY81*AZ81</f>
        <v>54.91237499999999</v>
      </c>
      <c r="BB81" s="52">
        <v>15.2</v>
      </c>
      <c r="BC81" s="56">
        <f>AY81*BB81</f>
        <v>52.994799999999991</v>
      </c>
      <c r="BD81" s="52">
        <v>7.19</v>
      </c>
      <c r="BE81" s="56">
        <f>AY81*BD81</f>
        <v>25.067934999999999</v>
      </c>
      <c r="BF81" s="56">
        <v>4</v>
      </c>
      <c r="BJ81" s="52" t="s">
        <v>67</v>
      </c>
      <c r="BK81" s="62">
        <v>11.18</v>
      </c>
      <c r="BL81" s="62">
        <f>('Carga y Reparto'!P65/TTHH!C82)*100</f>
        <v>100</v>
      </c>
      <c r="BM81" s="66"/>
      <c r="BN81" s="56">
        <f t="shared" si="31"/>
        <v>11.18</v>
      </c>
      <c r="BO81" s="56">
        <f>IFERROR(BN81/'Carga y Reparto'!Q65,0)</f>
        <v>12.422222222222221</v>
      </c>
      <c r="BP81" s="52">
        <f>TTHH!C82</f>
        <v>20.2</v>
      </c>
      <c r="BS81" s="52" t="s">
        <v>59</v>
      </c>
      <c r="BT81" s="56">
        <v>3.4864999999999995</v>
      </c>
      <c r="BU81" s="52">
        <v>15.75</v>
      </c>
      <c r="BV81" s="56">
        <f>BT81*BU81</f>
        <v>54.91237499999999</v>
      </c>
      <c r="BW81" s="52">
        <v>15.2</v>
      </c>
      <c r="BX81" s="56">
        <f>BT81*BW81</f>
        <v>52.994799999999991</v>
      </c>
      <c r="BY81" s="52">
        <v>7.19</v>
      </c>
      <c r="BZ81" s="56">
        <f>BT81*BY81</f>
        <v>25.067934999999999</v>
      </c>
      <c r="CA81" s="56">
        <f>IF(AND(BO20&lt;TTHH!D70,BO20&lt;&gt;0),TTHH!H70,0)</f>
        <v>4</v>
      </c>
      <c r="CE81" s="52" t="s">
        <v>59</v>
      </c>
      <c r="CF81" s="56">
        <v>3.4864999999999995</v>
      </c>
      <c r="CG81" s="52">
        <v>15.75</v>
      </c>
      <c r="CH81" s="56">
        <f>CF81*CG81</f>
        <v>54.91237499999999</v>
      </c>
      <c r="CI81" s="52">
        <v>15.2</v>
      </c>
      <c r="CJ81" s="56">
        <f>CF81*CI81</f>
        <v>52.994799999999991</v>
      </c>
      <c r="CK81" s="52">
        <v>7.19</v>
      </c>
      <c r="CL81" s="56">
        <f>CF81*CK81</f>
        <v>25.067934999999999</v>
      </c>
      <c r="CM81" s="56">
        <f>IF(AND(BO20&lt;TTHH!D70,BO20&lt;&gt;0),TTHH!H70,0)</f>
        <v>4</v>
      </c>
    </row>
    <row r="82" spans="12:91" x14ac:dyDescent="0.3">
      <c r="L82" s="52" t="s">
        <v>60</v>
      </c>
      <c r="M82" s="56">
        <v>7.6620000000000026</v>
      </c>
      <c r="N82" s="52">
        <v>15.75</v>
      </c>
      <c r="O82" s="56">
        <f>M82*N82</f>
        <v>120.67650000000005</v>
      </c>
      <c r="P82" s="52">
        <v>12</v>
      </c>
      <c r="Q82" s="56">
        <f>M82*P82</f>
        <v>91.944000000000031</v>
      </c>
      <c r="R82" s="52">
        <v>7.19</v>
      </c>
      <c r="S82" s="56">
        <f>M82*R82</f>
        <v>55.089780000000019</v>
      </c>
      <c r="T82" s="56">
        <v>4</v>
      </c>
      <c r="AE82" s="52" t="s">
        <v>60</v>
      </c>
      <c r="AF82" s="56">
        <v>7.6620000000000026</v>
      </c>
      <c r="AG82" s="52">
        <v>15.75</v>
      </c>
      <c r="AH82" s="56">
        <f>AF82*AG82</f>
        <v>120.67650000000005</v>
      </c>
      <c r="AI82" s="52">
        <v>12</v>
      </c>
      <c r="AJ82" s="56">
        <f>AF82*AI82</f>
        <v>91.944000000000031</v>
      </c>
      <c r="AK82" s="52">
        <v>7.19</v>
      </c>
      <c r="AL82" s="56">
        <f>AF82*AK82</f>
        <v>55.089780000000019</v>
      </c>
      <c r="AM82" s="56">
        <v>4</v>
      </c>
      <c r="AX82" s="52" t="s">
        <v>60</v>
      </c>
      <c r="AY82" s="56">
        <v>7.6620000000000026</v>
      </c>
      <c r="AZ82" s="52">
        <v>15.75</v>
      </c>
      <c r="BA82" s="56">
        <f>AY82*AZ82</f>
        <v>120.67650000000005</v>
      </c>
      <c r="BB82" s="52">
        <v>12</v>
      </c>
      <c r="BC82" s="56">
        <f>AY82*BB82</f>
        <v>91.944000000000031</v>
      </c>
      <c r="BD82" s="52">
        <v>7.19</v>
      </c>
      <c r="BE82" s="56">
        <f>AY82*BD82</f>
        <v>55.089780000000019</v>
      </c>
      <c r="BF82" s="56">
        <v>4</v>
      </c>
      <c r="BJ82" s="52" t="s">
        <v>68</v>
      </c>
      <c r="BK82" s="62">
        <v>39.96</v>
      </c>
      <c r="BL82" s="62">
        <f>('Carga y Reparto'!P66/TTHH!C83)*100</f>
        <v>100</v>
      </c>
      <c r="BM82" s="66"/>
      <c r="BN82" s="56">
        <f t="shared" si="31"/>
        <v>39.96</v>
      </c>
      <c r="BO82" s="56">
        <f>IFERROR(BN82/'Carga y Reparto'!Q66,0)</f>
        <v>44.4</v>
      </c>
      <c r="BP82" s="52">
        <f>TTHH!C83</f>
        <v>44.4</v>
      </c>
      <c r="BS82" s="52" t="s">
        <v>60</v>
      </c>
      <c r="BT82" s="56">
        <v>7.6620000000000026</v>
      </c>
      <c r="BU82" s="52">
        <v>15.75</v>
      </c>
      <c r="BV82" s="56">
        <f>BT82*BU82</f>
        <v>120.67650000000005</v>
      </c>
      <c r="BW82" s="52">
        <v>12</v>
      </c>
      <c r="BX82" s="56">
        <f>BT82*BW82</f>
        <v>91.944000000000031</v>
      </c>
      <c r="BY82" s="52">
        <v>7.19</v>
      </c>
      <c r="BZ82" s="56">
        <f>BT82*BY82</f>
        <v>55.089780000000019</v>
      </c>
      <c r="CA82" s="56">
        <f>IF(AND(BO21&lt;TTHH!D71,BO21&lt;&gt;0),TTHH!H71,0)</f>
        <v>4</v>
      </c>
      <c r="CE82" s="52" t="s">
        <v>60</v>
      </c>
      <c r="CF82" s="56">
        <v>7.6620000000000026</v>
      </c>
      <c r="CG82" s="52">
        <v>15.75</v>
      </c>
      <c r="CH82" s="56">
        <f>CF82*CG82</f>
        <v>120.67650000000005</v>
      </c>
      <c r="CI82" s="52">
        <v>12</v>
      </c>
      <c r="CJ82" s="56">
        <f>CF82*CI82</f>
        <v>91.944000000000031</v>
      </c>
      <c r="CK82" s="52">
        <v>7.19</v>
      </c>
      <c r="CL82" s="56">
        <f>CF82*CK82</f>
        <v>55.089780000000019</v>
      </c>
      <c r="CM82" s="56">
        <f>IF(AND(BO21&lt;TTHH!D71,BO21&lt;&gt;0),TTHH!H71,0)</f>
        <v>4</v>
      </c>
    </row>
    <row r="83" spans="12:91" x14ac:dyDescent="0.3">
      <c r="L83" s="52" t="s">
        <v>61</v>
      </c>
      <c r="M83" s="56">
        <v>3.4578000000000002</v>
      </c>
      <c r="N83" s="52">
        <v>15.75</v>
      </c>
      <c r="O83" s="56">
        <f>M83*N83</f>
        <v>54.460350000000005</v>
      </c>
      <c r="P83" s="52">
        <v>13.6</v>
      </c>
      <c r="Q83" s="56">
        <f>M83*P83</f>
        <v>47.02608</v>
      </c>
      <c r="R83" s="52">
        <v>7.19</v>
      </c>
      <c r="S83" s="56">
        <f>M83*R83</f>
        <v>24.861582000000002</v>
      </c>
      <c r="T83" s="56">
        <v>4</v>
      </c>
      <c r="AE83" s="52" t="s">
        <v>61</v>
      </c>
      <c r="AF83" s="56">
        <v>3.4578000000000002</v>
      </c>
      <c r="AG83" s="52">
        <v>15.75</v>
      </c>
      <c r="AH83" s="56">
        <f>AF83*AG83</f>
        <v>54.460350000000005</v>
      </c>
      <c r="AI83" s="52">
        <v>13.6</v>
      </c>
      <c r="AJ83" s="56">
        <f>AF83*AI83</f>
        <v>47.02608</v>
      </c>
      <c r="AK83" s="52">
        <v>7.19</v>
      </c>
      <c r="AL83" s="56">
        <f>AF83*AK83</f>
        <v>24.861582000000002</v>
      </c>
      <c r="AM83" s="56">
        <v>4</v>
      </c>
      <c r="AX83" s="52" t="s">
        <v>61</v>
      </c>
      <c r="AY83" s="56">
        <v>3.4578000000000002</v>
      </c>
      <c r="AZ83" s="52">
        <v>15.75</v>
      </c>
      <c r="BA83" s="56">
        <f>AY83*AZ83</f>
        <v>54.460350000000005</v>
      </c>
      <c r="BB83" s="52">
        <v>13.6</v>
      </c>
      <c r="BC83" s="56">
        <f>AY83*BB83</f>
        <v>47.02608</v>
      </c>
      <c r="BD83" s="52">
        <v>7.19</v>
      </c>
      <c r="BE83" s="56">
        <f>AY83*BD83</f>
        <v>24.861582000000002</v>
      </c>
      <c r="BF83" s="56">
        <v>4</v>
      </c>
      <c r="BJ83" s="52" t="s">
        <v>69</v>
      </c>
      <c r="BK83" s="62">
        <v>0</v>
      </c>
      <c r="BL83" s="62">
        <f>('Carga y Reparto'!P67/TTHH!C84)*100</f>
        <v>0</v>
      </c>
      <c r="BM83" s="66">
        <v>2.52</v>
      </c>
      <c r="BN83" s="56">
        <f t="shared" si="31"/>
        <v>2.52</v>
      </c>
      <c r="BO83" s="56">
        <f>IFERROR(BN83/'Carga y Reparto'!Q67,0)</f>
        <v>2.8</v>
      </c>
      <c r="BP83" s="52">
        <f>TTHH!C84</f>
        <v>16.100000000000001</v>
      </c>
      <c r="BS83" s="52" t="s">
        <v>61</v>
      </c>
      <c r="BT83" s="56">
        <v>3.4578000000000002</v>
      </c>
      <c r="BU83" s="52">
        <v>15.75</v>
      </c>
      <c r="BV83" s="56">
        <f>BT83*BU83</f>
        <v>54.460350000000005</v>
      </c>
      <c r="BW83" s="52">
        <v>13.6</v>
      </c>
      <c r="BX83" s="56">
        <f>BT83*BW83</f>
        <v>47.02608</v>
      </c>
      <c r="BY83" s="52">
        <v>7.19</v>
      </c>
      <c r="BZ83" s="56">
        <f>BT83*BY83</f>
        <v>24.861582000000002</v>
      </c>
      <c r="CA83" s="56">
        <f>IF(AND(BO22&lt;TTHH!D72,BO22&lt;&gt;0),TTHH!H72,0)</f>
        <v>4</v>
      </c>
      <c r="CE83" s="52" t="s">
        <v>61</v>
      </c>
      <c r="CF83" s="56">
        <v>3.4578000000000002</v>
      </c>
      <c r="CG83" s="52">
        <v>15.75</v>
      </c>
      <c r="CH83" s="56">
        <f>CF83*CG83</f>
        <v>54.460350000000005</v>
      </c>
      <c r="CI83" s="52">
        <v>13.6</v>
      </c>
      <c r="CJ83" s="56">
        <f>CF83*CI83</f>
        <v>47.02608</v>
      </c>
      <c r="CK83" s="52">
        <v>7.19</v>
      </c>
      <c r="CL83" s="56">
        <f>CF83*CK83</f>
        <v>24.861582000000002</v>
      </c>
      <c r="CM83" s="56">
        <f>IF(AND(BO22&lt;TTHH!D72,BO22&lt;&gt;0),TTHH!H72,0)</f>
        <v>4</v>
      </c>
    </row>
    <row r="84" spans="12:91" x14ac:dyDescent="0.3">
      <c r="L84" s="54" t="s">
        <v>63</v>
      </c>
      <c r="M84" s="38"/>
      <c r="N84" s="38"/>
      <c r="O84" s="38"/>
      <c r="P84" s="38"/>
      <c r="Q84" s="38"/>
      <c r="R84" s="38"/>
      <c r="S84" s="38"/>
      <c r="T84" s="38"/>
      <c r="AE84" s="54" t="s">
        <v>63</v>
      </c>
      <c r="AF84" s="38"/>
      <c r="AG84" s="51">
        <v>0</v>
      </c>
      <c r="AH84" s="51"/>
      <c r="AI84" s="51">
        <v>0</v>
      </c>
      <c r="AJ84" s="51"/>
      <c r="AK84" s="51">
        <v>0</v>
      </c>
      <c r="AL84" s="38"/>
      <c r="AM84" s="38"/>
      <c r="AX84" s="54" t="s">
        <v>63</v>
      </c>
      <c r="AY84" s="38"/>
      <c r="AZ84" s="51">
        <v>0</v>
      </c>
      <c r="BA84" s="51"/>
      <c r="BB84" s="51">
        <v>0</v>
      </c>
      <c r="BC84" s="51"/>
      <c r="BD84" s="51">
        <v>0</v>
      </c>
      <c r="BE84" s="38"/>
      <c r="BF84" s="38"/>
      <c r="BJ84" s="52" t="s">
        <v>70</v>
      </c>
      <c r="BK84" s="62">
        <v>0</v>
      </c>
      <c r="BL84" s="62">
        <f>('Carga y Reparto'!P68/TTHH!C85)*100</f>
        <v>0</v>
      </c>
      <c r="BM84" s="66"/>
      <c r="BN84" s="56">
        <f t="shared" si="31"/>
        <v>0</v>
      </c>
      <c r="BO84" s="56">
        <f>IFERROR(BN84/'Carga y Reparto'!Q68,0)</f>
        <v>0</v>
      </c>
      <c r="BP84" s="52">
        <f>TTHH!C85</f>
        <v>4.3</v>
      </c>
      <c r="BS84" s="54" t="s">
        <v>63</v>
      </c>
      <c r="BT84" s="38"/>
      <c r="BU84" s="51"/>
      <c r="BV84" s="51"/>
      <c r="BW84" s="51"/>
      <c r="BX84" s="51"/>
      <c r="BY84" s="51"/>
      <c r="BZ84" s="38"/>
      <c r="CA84" s="38"/>
      <c r="CE84" s="54" t="s">
        <v>63</v>
      </c>
      <c r="CF84" s="38"/>
      <c r="CG84" s="51">
        <v>0</v>
      </c>
      <c r="CH84" s="51"/>
      <c r="CI84" s="51">
        <v>0</v>
      </c>
      <c r="CJ84" s="51"/>
      <c r="CK84" s="51">
        <v>0</v>
      </c>
      <c r="CL84" s="38"/>
      <c r="CM84" s="38"/>
    </row>
    <row r="85" spans="12:91" x14ac:dyDescent="0.3">
      <c r="L85" s="52" t="s">
        <v>65</v>
      </c>
      <c r="M85" s="56" cm="1">
        <f t="array" ref="M85:M94">_xlfn.ANCHORARRAY(F59)</f>
        <v>17.100000000000001</v>
      </c>
      <c r="N85" s="52" cm="1">
        <f t="array" ref="N85:N94">Tabla20[[#All],[Columna5]]</f>
        <v>11.77</v>
      </c>
      <c r="O85" s="56">
        <f t="shared" ref="O85:O94" si="32">M85*N85</f>
        <v>201.267</v>
      </c>
      <c r="P85" s="52" cm="1">
        <f t="array" ref="P85:P94">Tabla20[[#All],[Columna3]]</f>
        <v>6.81</v>
      </c>
      <c r="Q85" s="56">
        <f t="shared" ref="Q85:Q94" si="33">M85*P85</f>
        <v>116.45100000000001</v>
      </c>
      <c r="R85" s="52" cm="1">
        <f t="array" ref="R85:R94">Tabla20[[#All],[Columna4]]</f>
        <v>8.43</v>
      </c>
      <c r="S85" s="56">
        <f t="shared" ref="S85:S94" si="34">M85*R85</f>
        <v>144.15300000000002</v>
      </c>
      <c r="T85" s="56" cm="1">
        <f t="array" ref="T85:T94">'Condición Día D'!AB58:AB67</f>
        <v>0</v>
      </c>
      <c r="AE85" s="52" t="s">
        <v>65</v>
      </c>
      <c r="AF85" s="56" cm="1">
        <f t="array" ref="AF85:AF94">_xlfn.ANCHORARRAY(Y59)</f>
        <v>17.100000000000001</v>
      </c>
      <c r="AG85" s="52">
        <v>11.77</v>
      </c>
      <c r="AH85" s="56">
        <f t="shared" ref="AH85:AH94" si="35">AF85*AG85</f>
        <v>201.267</v>
      </c>
      <c r="AI85" s="52">
        <v>6.81</v>
      </c>
      <c r="AJ85" s="56">
        <f t="shared" ref="AJ85:AJ94" si="36">AF85*AI85</f>
        <v>116.45100000000001</v>
      </c>
      <c r="AK85" s="52">
        <v>8.43</v>
      </c>
      <c r="AL85" s="56">
        <f t="shared" ref="AL85:AL94" si="37">AF85*AK85</f>
        <v>144.15300000000002</v>
      </c>
      <c r="AM85" s="56" cm="1">
        <f t="array" ref="AM85:AM94">_xlfn.ANCHORARRAY(T85)</f>
        <v>0</v>
      </c>
      <c r="AX85" s="52" t="s">
        <v>65</v>
      </c>
      <c r="AY85" s="56" cm="1">
        <f t="array" ref="AY85:AY94">_xlfn.ANCHORARRAY(AR59)</f>
        <v>17.100000000000001</v>
      </c>
      <c r="AZ85" s="52">
        <v>11.77</v>
      </c>
      <c r="BA85" s="56">
        <f t="shared" ref="BA85:BA94" si="38">AY85*AZ85</f>
        <v>201.267</v>
      </c>
      <c r="BB85" s="52">
        <v>6.81</v>
      </c>
      <c r="BC85" s="56">
        <f t="shared" ref="BC85:BC94" si="39">AY85*BB85</f>
        <v>116.45100000000001</v>
      </c>
      <c r="BD85" s="52">
        <v>8.43</v>
      </c>
      <c r="BE85" s="56">
        <f t="shared" ref="BE85:BE94" si="40">AY85*BD85</f>
        <v>144.15300000000002</v>
      </c>
      <c r="BF85" s="56" cm="1">
        <f t="array" ref="BF85:BF94">_xlfn.ANCHORARRAY(AM85)</f>
        <v>0</v>
      </c>
      <c r="BJ85" s="52" t="s">
        <v>71</v>
      </c>
      <c r="BK85" s="62">
        <v>0</v>
      </c>
      <c r="BL85" s="62">
        <f>('Carga y Reparto'!P69/TTHH!C86)*100</f>
        <v>0</v>
      </c>
      <c r="BM85" s="66"/>
      <c r="BN85" s="56">
        <f t="shared" si="31"/>
        <v>0</v>
      </c>
      <c r="BO85" s="56">
        <f>IFERROR(BN85/'Carga y Reparto'!Q69,0)</f>
        <v>0</v>
      </c>
      <c r="BP85" s="52">
        <f>TTHH!C86</f>
        <v>4.3</v>
      </c>
      <c r="BS85" s="52" t="s">
        <v>65</v>
      </c>
      <c r="BT85" s="56" cm="1">
        <f t="array" ref="BT85:BT88">BN79:BN82</f>
        <v>17.100000000000001</v>
      </c>
      <c r="BU85" s="52" cm="1">
        <f t="array" ref="BU85:BU110">AZ85:AZ110</f>
        <v>11.77</v>
      </c>
      <c r="BV85" s="56">
        <f t="shared" ref="BV85:BV94" si="41">BT85*BU85</f>
        <v>201.267</v>
      </c>
      <c r="BW85" s="52" cm="1">
        <f t="array" ref="BW85:BW110">BB85:BB110</f>
        <v>6.81</v>
      </c>
      <c r="BX85" s="56">
        <f t="shared" ref="BX85:BX94" si="42">BT85*BW85</f>
        <v>116.45100000000001</v>
      </c>
      <c r="BY85" s="52" cm="1">
        <f t="array" ref="BY85:BY110">BD85:BD110</f>
        <v>8.43</v>
      </c>
      <c r="BZ85" s="56">
        <f t="shared" ref="BZ85:BZ94" si="43">BT85*BY85</f>
        <v>144.15300000000002</v>
      </c>
      <c r="CA85" s="56">
        <f>IF(AND(BO79&lt;TTHH!D80,BO79&lt;&gt;0),TTHH!H80,0)</f>
        <v>0</v>
      </c>
      <c r="CE85" s="52" t="s">
        <v>65</v>
      </c>
      <c r="CF85" s="56" cm="1">
        <f t="array" ref="CF85:CF94">BN79:BN88</f>
        <v>17.100000000000001</v>
      </c>
      <c r="CG85" s="52">
        <v>11.77</v>
      </c>
      <c r="CH85" s="56">
        <f t="shared" ref="CH85:CH94" si="44">CF85*CG85</f>
        <v>201.267</v>
      </c>
      <c r="CI85" s="52">
        <v>6.81</v>
      </c>
      <c r="CJ85" s="56">
        <f t="shared" ref="CJ85:CJ94" si="45">CF85*CI85</f>
        <v>116.45100000000001</v>
      </c>
      <c r="CK85" s="52">
        <v>8.43</v>
      </c>
      <c r="CL85" s="56">
        <f t="shared" ref="CL85:CL94" si="46">CF85*CK85</f>
        <v>144.15300000000002</v>
      </c>
      <c r="CM85" s="56">
        <f>IF(AND(BO79&lt;TTHH!D80,BO79&lt;&gt;0),TTHH!H80,0)</f>
        <v>0</v>
      </c>
    </row>
    <row r="86" spans="12:91" x14ac:dyDescent="0.3">
      <c r="L86" s="52" t="s">
        <v>66</v>
      </c>
      <c r="M86" s="56">
        <v>16.829999999999998</v>
      </c>
      <c r="N86" s="52">
        <v>11.69</v>
      </c>
      <c r="O86" s="56">
        <f t="shared" si="32"/>
        <v>196.74269999999999</v>
      </c>
      <c r="P86" s="52">
        <v>7.61</v>
      </c>
      <c r="Q86" s="56">
        <f t="shared" si="33"/>
        <v>128.0763</v>
      </c>
      <c r="R86" s="52">
        <v>8.57</v>
      </c>
      <c r="S86" s="56">
        <f t="shared" si="34"/>
        <v>144.23309999999998</v>
      </c>
      <c r="T86" s="56">
        <v>0</v>
      </c>
      <c r="AE86" s="52" t="s">
        <v>66</v>
      </c>
      <c r="AF86" s="56">
        <v>16.829999999999998</v>
      </c>
      <c r="AG86" s="52">
        <v>11.69</v>
      </c>
      <c r="AH86" s="56">
        <f t="shared" si="35"/>
        <v>196.74269999999999</v>
      </c>
      <c r="AI86" s="52">
        <v>7.61</v>
      </c>
      <c r="AJ86" s="56">
        <f t="shared" si="36"/>
        <v>128.0763</v>
      </c>
      <c r="AK86" s="52">
        <v>8.57</v>
      </c>
      <c r="AL86" s="56">
        <f t="shared" si="37"/>
        <v>144.23309999999998</v>
      </c>
      <c r="AM86" s="56">
        <v>0</v>
      </c>
      <c r="AX86" s="52" t="s">
        <v>66</v>
      </c>
      <c r="AY86" s="56">
        <v>16.829999999999998</v>
      </c>
      <c r="AZ86" s="52">
        <v>11.69</v>
      </c>
      <c r="BA86" s="56">
        <f t="shared" si="38"/>
        <v>196.74269999999999</v>
      </c>
      <c r="BB86" s="52">
        <v>7.61</v>
      </c>
      <c r="BC86" s="56">
        <f t="shared" si="39"/>
        <v>128.0763</v>
      </c>
      <c r="BD86" s="52">
        <v>8.57</v>
      </c>
      <c r="BE86" s="56">
        <f t="shared" si="40"/>
        <v>144.23309999999998</v>
      </c>
      <c r="BF86" s="56">
        <v>0</v>
      </c>
      <c r="BJ86" s="52" t="s">
        <v>72</v>
      </c>
      <c r="BK86" s="62">
        <v>1.08</v>
      </c>
      <c r="BL86" s="62">
        <f>('Carga y Reparto'!P70/TTHH!C87)*100</f>
        <v>60</v>
      </c>
      <c r="BM86" s="66">
        <v>-1.08</v>
      </c>
      <c r="BN86" s="56">
        <f t="shared" si="31"/>
        <v>0</v>
      </c>
      <c r="BO86" s="56">
        <f>IFERROR(BN86/'Carga y Reparto'!Q70,0)</f>
        <v>0</v>
      </c>
      <c r="BP86" s="52">
        <f>TTHH!C87</f>
        <v>2</v>
      </c>
      <c r="BS86" s="52" t="s">
        <v>66</v>
      </c>
      <c r="BT86" s="56">
        <v>16.829999999999998</v>
      </c>
      <c r="BU86" s="52">
        <v>11.69</v>
      </c>
      <c r="BV86" s="56">
        <f t="shared" si="41"/>
        <v>196.74269999999999</v>
      </c>
      <c r="BW86" s="52">
        <v>7.61</v>
      </c>
      <c r="BX86" s="56">
        <f t="shared" si="42"/>
        <v>128.0763</v>
      </c>
      <c r="BY86" s="52">
        <v>8.57</v>
      </c>
      <c r="BZ86" s="56">
        <f t="shared" si="43"/>
        <v>144.23309999999998</v>
      </c>
      <c r="CA86" s="56">
        <f>IF(AND(BO80&lt;TTHH!D81,BO80&lt;&gt;0),TTHH!H81,0)</f>
        <v>0</v>
      </c>
      <c r="CE86" s="52" t="s">
        <v>66</v>
      </c>
      <c r="CF86" s="56">
        <v>16.829999999999998</v>
      </c>
      <c r="CG86" s="52">
        <v>11.69</v>
      </c>
      <c r="CH86" s="56">
        <f t="shared" si="44"/>
        <v>196.74269999999999</v>
      </c>
      <c r="CI86" s="52">
        <v>7.61</v>
      </c>
      <c r="CJ86" s="56">
        <f t="shared" si="45"/>
        <v>128.0763</v>
      </c>
      <c r="CK86" s="52">
        <v>8.57</v>
      </c>
      <c r="CL86" s="56">
        <f t="shared" si="46"/>
        <v>144.23309999999998</v>
      </c>
      <c r="CM86" s="56">
        <f>IF(AND(BO80&lt;TTHH!D81,BO80&lt;&gt;0),TTHH!H81,0)</f>
        <v>0</v>
      </c>
    </row>
    <row r="87" spans="12:91" x14ac:dyDescent="0.3">
      <c r="L87" s="52" t="s">
        <v>67</v>
      </c>
      <c r="M87" s="56">
        <v>11.18</v>
      </c>
      <c r="N87" s="52">
        <v>11.63</v>
      </c>
      <c r="O87" s="56">
        <f t="shared" si="32"/>
        <v>130.02340000000001</v>
      </c>
      <c r="P87" s="52">
        <v>8.4</v>
      </c>
      <c r="Q87" s="56">
        <f t="shared" si="33"/>
        <v>93.912000000000006</v>
      </c>
      <c r="R87" s="52">
        <v>8.7200000000000006</v>
      </c>
      <c r="S87" s="56">
        <f t="shared" si="34"/>
        <v>97.48960000000001</v>
      </c>
      <c r="T87" s="56">
        <v>36</v>
      </c>
      <c r="AE87" s="52" t="s">
        <v>67</v>
      </c>
      <c r="AF87" s="56">
        <v>11.18</v>
      </c>
      <c r="AG87" s="52">
        <v>11.63</v>
      </c>
      <c r="AH87" s="56">
        <f t="shared" si="35"/>
        <v>130.02340000000001</v>
      </c>
      <c r="AI87" s="52">
        <v>8.4</v>
      </c>
      <c r="AJ87" s="56">
        <f t="shared" si="36"/>
        <v>93.912000000000006</v>
      </c>
      <c r="AK87" s="52">
        <v>8.7200000000000006</v>
      </c>
      <c r="AL87" s="56">
        <f t="shared" si="37"/>
        <v>97.48960000000001</v>
      </c>
      <c r="AM87" s="56">
        <v>36</v>
      </c>
      <c r="AX87" s="52" t="s">
        <v>67</v>
      </c>
      <c r="AY87" s="56">
        <v>11.18</v>
      </c>
      <c r="AZ87" s="52">
        <v>11.63</v>
      </c>
      <c r="BA87" s="56">
        <f t="shared" si="38"/>
        <v>130.02340000000001</v>
      </c>
      <c r="BB87" s="52">
        <v>8.4</v>
      </c>
      <c r="BC87" s="56">
        <f t="shared" si="39"/>
        <v>93.912000000000006</v>
      </c>
      <c r="BD87" s="52">
        <v>8.7200000000000006</v>
      </c>
      <c r="BE87" s="56">
        <f t="shared" si="40"/>
        <v>97.48960000000001</v>
      </c>
      <c r="BF87" s="56">
        <v>36</v>
      </c>
      <c r="BJ87" s="52" t="s">
        <v>73</v>
      </c>
      <c r="BK87" s="62">
        <v>0.72000000000000008</v>
      </c>
      <c r="BL87" s="62">
        <f>('Carga y Reparto'!P71/TTHH!C88)*100</f>
        <v>100</v>
      </c>
      <c r="BM87" s="66">
        <v>-0.72</v>
      </c>
      <c r="BN87" s="56">
        <f t="shared" si="31"/>
        <v>0</v>
      </c>
      <c r="BO87" s="56">
        <f>IFERROR(BN87/'Carga y Reparto'!Q71,0)</f>
        <v>0</v>
      </c>
      <c r="BP87" s="52">
        <f>TTHH!C88</f>
        <v>0.8</v>
      </c>
      <c r="BS87" s="52" t="s">
        <v>67</v>
      </c>
      <c r="BT87" s="56">
        <v>11.18</v>
      </c>
      <c r="BU87" s="52">
        <v>11.63</v>
      </c>
      <c r="BV87" s="56">
        <f t="shared" si="41"/>
        <v>130.02340000000001</v>
      </c>
      <c r="BW87" s="52">
        <v>8.4</v>
      </c>
      <c r="BX87" s="56">
        <f t="shared" si="42"/>
        <v>93.912000000000006</v>
      </c>
      <c r="BY87" s="52">
        <v>8.7200000000000006</v>
      </c>
      <c r="BZ87" s="56">
        <f t="shared" si="43"/>
        <v>97.48960000000001</v>
      </c>
      <c r="CA87" s="56">
        <f>IF(AND(BO81&lt;TTHH!D82,BO81&lt;&gt;0),TTHH!H82,0)</f>
        <v>36</v>
      </c>
      <c r="CE87" s="52" t="s">
        <v>67</v>
      </c>
      <c r="CF87" s="56">
        <v>11.18</v>
      </c>
      <c r="CG87" s="52">
        <v>11.63</v>
      </c>
      <c r="CH87" s="56">
        <f t="shared" si="44"/>
        <v>130.02340000000001</v>
      </c>
      <c r="CI87" s="52">
        <v>8.4</v>
      </c>
      <c r="CJ87" s="56">
        <f t="shared" si="45"/>
        <v>93.912000000000006</v>
      </c>
      <c r="CK87" s="52">
        <v>8.7200000000000006</v>
      </c>
      <c r="CL87" s="56">
        <f t="shared" si="46"/>
        <v>97.48960000000001</v>
      </c>
      <c r="CM87" s="56">
        <f>IF(AND(BO81&lt;TTHH!D82,BO81&lt;&gt;0),TTHH!H82,0)</f>
        <v>36</v>
      </c>
    </row>
    <row r="88" spans="12:91" x14ac:dyDescent="0.3">
      <c r="L88" s="52" t="s">
        <v>68</v>
      </c>
      <c r="M88" s="56">
        <v>39.96</v>
      </c>
      <c r="N88" s="52">
        <v>11.56</v>
      </c>
      <c r="O88" s="56">
        <f t="shared" si="32"/>
        <v>461.93760000000003</v>
      </c>
      <c r="P88" s="52">
        <v>9.6199999999999992</v>
      </c>
      <c r="Q88" s="56">
        <f t="shared" si="33"/>
        <v>384.41519999999997</v>
      </c>
      <c r="R88" s="52">
        <v>8.94</v>
      </c>
      <c r="S88" s="56">
        <f t="shared" si="34"/>
        <v>357.24239999999998</v>
      </c>
      <c r="T88" s="56">
        <v>0</v>
      </c>
      <c r="AE88" s="52" t="s">
        <v>68</v>
      </c>
      <c r="AF88" s="56">
        <v>39.96</v>
      </c>
      <c r="AG88" s="52">
        <v>11.56</v>
      </c>
      <c r="AH88" s="56">
        <f t="shared" si="35"/>
        <v>461.93760000000003</v>
      </c>
      <c r="AI88" s="52">
        <v>9.6199999999999992</v>
      </c>
      <c r="AJ88" s="56">
        <f t="shared" si="36"/>
        <v>384.41519999999997</v>
      </c>
      <c r="AK88" s="52">
        <v>8.94</v>
      </c>
      <c r="AL88" s="56">
        <f t="shared" si="37"/>
        <v>357.24239999999998</v>
      </c>
      <c r="AM88" s="56">
        <v>0</v>
      </c>
      <c r="AX88" s="52" t="s">
        <v>68</v>
      </c>
      <c r="AY88" s="56">
        <v>39.96</v>
      </c>
      <c r="AZ88" s="52">
        <v>11.56</v>
      </c>
      <c r="BA88" s="56">
        <f t="shared" si="38"/>
        <v>461.93760000000003</v>
      </c>
      <c r="BB88" s="52">
        <v>9.6199999999999992</v>
      </c>
      <c r="BC88" s="56">
        <f t="shared" si="39"/>
        <v>384.41519999999997</v>
      </c>
      <c r="BD88" s="52">
        <v>8.94</v>
      </c>
      <c r="BE88" s="56">
        <f t="shared" si="40"/>
        <v>357.24239999999998</v>
      </c>
      <c r="BF88" s="56">
        <v>0</v>
      </c>
      <c r="BJ88" s="52" t="s">
        <v>74</v>
      </c>
      <c r="BK88" s="62">
        <v>0.72000000000000008</v>
      </c>
      <c r="BL88" s="62">
        <f>('Carga y Reparto'!P72/TTHH!C89)*100</f>
        <v>100</v>
      </c>
      <c r="BM88" s="66">
        <v>-0.72</v>
      </c>
      <c r="BN88" s="56">
        <f t="shared" si="31"/>
        <v>0</v>
      </c>
      <c r="BO88" s="56">
        <f>IFERROR(BN88/'Carga y Reparto'!Q72,0)</f>
        <v>0</v>
      </c>
      <c r="BP88" s="52">
        <f>TTHH!C89</f>
        <v>0.8</v>
      </c>
      <c r="BS88" s="52" t="s">
        <v>68</v>
      </c>
      <c r="BT88" s="56">
        <v>39.96</v>
      </c>
      <c r="BU88" s="52">
        <v>11.56</v>
      </c>
      <c r="BV88" s="56">
        <f t="shared" si="41"/>
        <v>461.93760000000003</v>
      </c>
      <c r="BW88" s="52">
        <v>9.6199999999999992</v>
      </c>
      <c r="BX88" s="56">
        <f t="shared" si="42"/>
        <v>384.41519999999997</v>
      </c>
      <c r="BY88" s="52">
        <v>8.94</v>
      </c>
      <c r="BZ88" s="56">
        <f t="shared" si="43"/>
        <v>357.24239999999998</v>
      </c>
      <c r="CA88" s="56">
        <f>IF(AND(BO82&lt;TTHH!D83,BO82&lt;&gt;0),TTHH!H83,0)</f>
        <v>0</v>
      </c>
      <c r="CE88" s="52" t="s">
        <v>68</v>
      </c>
      <c r="CF88" s="56">
        <v>39.96</v>
      </c>
      <c r="CG88" s="52">
        <v>11.56</v>
      </c>
      <c r="CH88" s="56">
        <f t="shared" si="44"/>
        <v>461.93760000000003</v>
      </c>
      <c r="CI88" s="52">
        <v>9.6199999999999992</v>
      </c>
      <c r="CJ88" s="56">
        <f t="shared" si="45"/>
        <v>384.41519999999997</v>
      </c>
      <c r="CK88" s="52">
        <v>8.94</v>
      </c>
      <c r="CL88" s="56">
        <f t="shared" si="46"/>
        <v>357.24239999999998</v>
      </c>
      <c r="CM88" s="56">
        <f>IF(AND(BO82&lt;TTHH!D83,BO82&lt;&gt;0),TTHH!H83,0)</f>
        <v>0</v>
      </c>
    </row>
    <row r="89" spans="12:91" x14ac:dyDescent="0.3">
      <c r="L89" s="52" t="s">
        <v>69</v>
      </c>
      <c r="M89" s="56">
        <v>0</v>
      </c>
      <c r="N89" s="52">
        <v>1.31</v>
      </c>
      <c r="O89" s="56">
        <f t="shared" si="32"/>
        <v>0</v>
      </c>
      <c r="P89" s="52">
        <v>18</v>
      </c>
      <c r="Q89" s="56">
        <f t="shared" si="33"/>
        <v>0</v>
      </c>
      <c r="R89" s="52">
        <v>0</v>
      </c>
      <c r="S89" s="56">
        <f t="shared" si="34"/>
        <v>0</v>
      </c>
      <c r="T89" s="56">
        <v>0</v>
      </c>
      <c r="AE89" s="52" t="s">
        <v>69</v>
      </c>
      <c r="AF89" s="56">
        <v>0</v>
      </c>
      <c r="AG89" s="52">
        <v>1.31</v>
      </c>
      <c r="AH89" s="56">
        <f t="shared" si="35"/>
        <v>0</v>
      </c>
      <c r="AI89" s="52">
        <v>18</v>
      </c>
      <c r="AJ89" s="56">
        <f t="shared" si="36"/>
        <v>0</v>
      </c>
      <c r="AK89" s="52">
        <v>0</v>
      </c>
      <c r="AL89" s="56">
        <f t="shared" si="37"/>
        <v>0</v>
      </c>
      <c r="AM89" s="56">
        <v>0</v>
      </c>
      <c r="AX89" s="52" t="s">
        <v>69</v>
      </c>
      <c r="AY89" s="56">
        <v>0</v>
      </c>
      <c r="AZ89" s="52">
        <v>1.31</v>
      </c>
      <c r="BA89" s="56">
        <f t="shared" si="38"/>
        <v>0</v>
      </c>
      <c r="BB89" s="52">
        <v>18</v>
      </c>
      <c r="BC89" s="56">
        <f t="shared" si="39"/>
        <v>0</v>
      </c>
      <c r="BD89" s="52">
        <v>0</v>
      </c>
      <c r="BE89" s="56">
        <f t="shared" si="40"/>
        <v>0</v>
      </c>
      <c r="BF89" s="56">
        <v>0</v>
      </c>
      <c r="BS89" s="52" t="s">
        <v>69</v>
      </c>
      <c r="BT89" s="66">
        <v>1.26</v>
      </c>
      <c r="BU89" s="52">
        <v>1.31</v>
      </c>
      <c r="BV89" s="56">
        <f t="shared" si="41"/>
        <v>1.6506000000000001</v>
      </c>
      <c r="BW89" s="52">
        <v>18</v>
      </c>
      <c r="BX89" s="56">
        <f t="shared" si="42"/>
        <v>22.68</v>
      </c>
      <c r="BY89" s="52">
        <v>0</v>
      </c>
      <c r="BZ89" s="56">
        <f t="shared" si="43"/>
        <v>0</v>
      </c>
      <c r="CA89" s="66">
        <f>IF(AND(BO83&lt;TTHH!D84,BO83&lt;&gt;0),TTHH!H84,0)</f>
        <v>7</v>
      </c>
      <c r="CE89" s="52" t="s">
        <v>69</v>
      </c>
      <c r="CF89" s="56">
        <v>2.52</v>
      </c>
      <c r="CG89" s="52">
        <v>1.31</v>
      </c>
      <c r="CH89" s="56">
        <f t="shared" si="44"/>
        <v>3.3012000000000001</v>
      </c>
      <c r="CI89" s="52">
        <v>18</v>
      </c>
      <c r="CJ89" s="56">
        <f t="shared" si="45"/>
        <v>45.36</v>
      </c>
      <c r="CK89" s="52">
        <v>0</v>
      </c>
      <c r="CL89" s="56">
        <f t="shared" si="46"/>
        <v>0</v>
      </c>
      <c r="CM89" s="56">
        <f>IF(AND(BO83&lt;TTHH!D84,BO83&lt;&gt;0),TTHH!H84,0)</f>
        <v>7</v>
      </c>
    </row>
    <row r="90" spans="12:91" x14ac:dyDescent="0.3">
      <c r="L90" s="52" t="s">
        <v>70</v>
      </c>
      <c r="M90" s="56">
        <v>0</v>
      </c>
      <c r="N90" s="52">
        <v>15.65</v>
      </c>
      <c r="O90" s="56">
        <f t="shared" si="32"/>
        <v>0</v>
      </c>
      <c r="P90" s="52">
        <v>2</v>
      </c>
      <c r="Q90" s="56">
        <f t="shared" si="33"/>
        <v>0</v>
      </c>
      <c r="R90" s="52">
        <v>3.2</v>
      </c>
      <c r="S90" s="56">
        <f t="shared" si="34"/>
        <v>0</v>
      </c>
      <c r="T90" s="56">
        <v>0</v>
      </c>
      <c r="AE90" s="52" t="s">
        <v>70</v>
      </c>
      <c r="AF90" s="56">
        <v>0</v>
      </c>
      <c r="AG90" s="52">
        <v>15.65</v>
      </c>
      <c r="AH90" s="56">
        <f t="shared" si="35"/>
        <v>0</v>
      </c>
      <c r="AI90" s="52">
        <v>2</v>
      </c>
      <c r="AJ90" s="56">
        <f t="shared" si="36"/>
        <v>0</v>
      </c>
      <c r="AK90" s="52">
        <v>3.2</v>
      </c>
      <c r="AL90" s="56">
        <f t="shared" si="37"/>
        <v>0</v>
      </c>
      <c r="AM90" s="56">
        <v>0</v>
      </c>
      <c r="AX90" s="52" t="s">
        <v>70</v>
      </c>
      <c r="AY90" s="56">
        <v>0</v>
      </c>
      <c r="AZ90" s="52">
        <v>15.65</v>
      </c>
      <c r="BA90" s="56">
        <f t="shared" si="38"/>
        <v>0</v>
      </c>
      <c r="BB90" s="52">
        <v>2</v>
      </c>
      <c r="BC90" s="56">
        <f t="shared" si="39"/>
        <v>0</v>
      </c>
      <c r="BD90" s="52">
        <v>3.2</v>
      </c>
      <c r="BE90" s="56">
        <f t="shared" si="40"/>
        <v>0</v>
      </c>
      <c r="BF90" s="56">
        <v>0</v>
      </c>
      <c r="BS90" s="52" t="s">
        <v>70</v>
      </c>
      <c r="BT90" s="56" cm="1">
        <f t="array" ref="BT90:BT91">BN84:BN85</f>
        <v>0</v>
      </c>
      <c r="BU90" s="52">
        <v>15.65</v>
      </c>
      <c r="BV90" s="56">
        <f t="shared" si="41"/>
        <v>0</v>
      </c>
      <c r="BW90" s="52">
        <v>2</v>
      </c>
      <c r="BX90" s="56">
        <f t="shared" si="42"/>
        <v>0</v>
      </c>
      <c r="BY90" s="52">
        <v>3.2</v>
      </c>
      <c r="BZ90" s="56">
        <f t="shared" si="43"/>
        <v>0</v>
      </c>
      <c r="CA90" s="56">
        <f>IF(AND(BO84&lt;TTHH!D85,BO84&lt;&gt;0),TTHH!H85,0)</f>
        <v>0</v>
      </c>
      <c r="CE90" s="52" t="s">
        <v>70</v>
      </c>
      <c r="CF90" s="56">
        <v>0</v>
      </c>
      <c r="CG90" s="52">
        <v>15.65</v>
      </c>
      <c r="CH90" s="56">
        <f t="shared" si="44"/>
        <v>0</v>
      </c>
      <c r="CI90" s="52">
        <v>2</v>
      </c>
      <c r="CJ90" s="56">
        <f t="shared" si="45"/>
        <v>0</v>
      </c>
      <c r="CK90" s="52">
        <v>3.2</v>
      </c>
      <c r="CL90" s="56">
        <f t="shared" si="46"/>
        <v>0</v>
      </c>
      <c r="CM90" s="56">
        <f>IF(AND(BO84&lt;TTHH!D85,BO84&lt;&gt;0),TTHH!H85,0)</f>
        <v>0</v>
      </c>
    </row>
    <row r="91" spans="12:91" x14ac:dyDescent="0.3">
      <c r="L91" s="52" t="s">
        <v>71</v>
      </c>
      <c r="M91" s="56">
        <v>0</v>
      </c>
      <c r="N91" s="52">
        <v>15.65</v>
      </c>
      <c r="O91" s="56">
        <f t="shared" si="32"/>
        <v>0</v>
      </c>
      <c r="P91" s="52">
        <v>2</v>
      </c>
      <c r="Q91" s="56">
        <f t="shared" si="33"/>
        <v>0</v>
      </c>
      <c r="R91" s="52">
        <v>4.8</v>
      </c>
      <c r="S91" s="56">
        <f t="shared" si="34"/>
        <v>0</v>
      </c>
      <c r="T91" s="56">
        <v>0</v>
      </c>
      <c r="AE91" s="52" t="s">
        <v>71</v>
      </c>
      <c r="AF91" s="56">
        <v>0</v>
      </c>
      <c r="AG91" s="52">
        <v>15.65</v>
      </c>
      <c r="AH91" s="56">
        <f t="shared" si="35"/>
        <v>0</v>
      </c>
      <c r="AI91" s="52">
        <v>2</v>
      </c>
      <c r="AJ91" s="56">
        <f t="shared" si="36"/>
        <v>0</v>
      </c>
      <c r="AK91" s="52">
        <v>4.8</v>
      </c>
      <c r="AL91" s="56">
        <f t="shared" si="37"/>
        <v>0</v>
      </c>
      <c r="AM91" s="56">
        <v>0</v>
      </c>
      <c r="AX91" s="52" t="s">
        <v>71</v>
      </c>
      <c r="AY91" s="56">
        <v>0</v>
      </c>
      <c r="AZ91" s="52">
        <v>15.65</v>
      </c>
      <c r="BA91" s="56">
        <f t="shared" si="38"/>
        <v>0</v>
      </c>
      <c r="BB91" s="52">
        <v>2</v>
      </c>
      <c r="BC91" s="56">
        <f t="shared" si="39"/>
        <v>0</v>
      </c>
      <c r="BD91" s="52">
        <v>4.8</v>
      </c>
      <c r="BE91" s="56">
        <f t="shared" si="40"/>
        <v>0</v>
      </c>
      <c r="BF91" s="56">
        <v>0</v>
      </c>
      <c r="BJ91" s="54" t="s">
        <v>79</v>
      </c>
      <c r="BK91" s="52" t="s">
        <v>603</v>
      </c>
      <c r="BL91" s="52" t="s">
        <v>628</v>
      </c>
      <c r="BM91" s="52" t="s">
        <v>631</v>
      </c>
      <c r="BN91" s="52" t="s">
        <v>629</v>
      </c>
      <c r="BO91" s="52" t="s">
        <v>630</v>
      </c>
      <c r="BP91" s="52" t="s">
        <v>632</v>
      </c>
      <c r="BS91" s="52" t="s">
        <v>71</v>
      </c>
      <c r="BT91" s="56">
        <v>0</v>
      </c>
      <c r="BU91" s="52">
        <v>15.65</v>
      </c>
      <c r="BV91" s="56">
        <f t="shared" si="41"/>
        <v>0</v>
      </c>
      <c r="BW91" s="52">
        <v>2</v>
      </c>
      <c r="BX91" s="56">
        <f t="shared" si="42"/>
        <v>0</v>
      </c>
      <c r="BY91" s="52">
        <v>4.8</v>
      </c>
      <c r="BZ91" s="56">
        <f t="shared" si="43"/>
        <v>0</v>
      </c>
      <c r="CA91" s="56">
        <f>IF(AND(BO85&lt;TTHH!D86,BO85&lt;&gt;0),TTHH!H86,0)</f>
        <v>0</v>
      </c>
      <c r="CE91" s="52" t="s">
        <v>71</v>
      </c>
      <c r="CF91" s="56">
        <v>0</v>
      </c>
      <c r="CG91" s="52">
        <v>15.65</v>
      </c>
      <c r="CH91" s="56">
        <f t="shared" si="44"/>
        <v>0</v>
      </c>
      <c r="CI91" s="52">
        <v>2</v>
      </c>
      <c r="CJ91" s="56">
        <f t="shared" si="45"/>
        <v>0</v>
      </c>
      <c r="CK91" s="52">
        <v>4.8</v>
      </c>
      <c r="CL91" s="56">
        <f t="shared" si="46"/>
        <v>0</v>
      </c>
      <c r="CM91" s="56">
        <f>IF(AND(BO85&lt;TTHH!D86,BO85&lt;&gt;0),TTHH!H86,0)</f>
        <v>0</v>
      </c>
    </row>
    <row r="92" spans="12:91" x14ac:dyDescent="0.3">
      <c r="L92" s="52" t="s">
        <v>72</v>
      </c>
      <c r="M92" s="56">
        <v>1.08</v>
      </c>
      <c r="N92" s="52">
        <v>14.8</v>
      </c>
      <c r="O92" s="56">
        <f t="shared" si="32"/>
        <v>15.984000000000002</v>
      </c>
      <c r="P92" s="52">
        <v>1.2</v>
      </c>
      <c r="Q92" s="56">
        <f t="shared" si="33"/>
        <v>1.296</v>
      </c>
      <c r="R92" s="52">
        <v>-2.9</v>
      </c>
      <c r="S92" s="56">
        <f t="shared" si="34"/>
        <v>-3.1320000000000001</v>
      </c>
      <c r="T92" s="56">
        <v>0</v>
      </c>
      <c r="AE92" s="52" t="s">
        <v>72</v>
      </c>
      <c r="AF92" s="56">
        <v>1.08</v>
      </c>
      <c r="AG92" s="52">
        <v>14.8</v>
      </c>
      <c r="AH92" s="56">
        <f t="shared" si="35"/>
        <v>15.984000000000002</v>
      </c>
      <c r="AI92" s="52">
        <v>1.2</v>
      </c>
      <c r="AJ92" s="56">
        <f t="shared" si="36"/>
        <v>1.296</v>
      </c>
      <c r="AK92" s="52">
        <v>-2.9</v>
      </c>
      <c r="AL92" s="56">
        <f t="shared" si="37"/>
        <v>-3.1320000000000001</v>
      </c>
      <c r="AM92" s="56">
        <v>0</v>
      </c>
      <c r="AX92" s="52" t="s">
        <v>72</v>
      </c>
      <c r="AY92" s="56">
        <v>1.08</v>
      </c>
      <c r="AZ92" s="52">
        <v>14.8</v>
      </c>
      <c r="BA92" s="56">
        <f t="shared" si="38"/>
        <v>15.984000000000002</v>
      </c>
      <c r="BB92" s="52">
        <v>1.2</v>
      </c>
      <c r="BC92" s="56">
        <f t="shared" si="39"/>
        <v>1.296</v>
      </c>
      <c r="BD92" s="52">
        <v>-2.9</v>
      </c>
      <c r="BE92" s="56">
        <f t="shared" si="40"/>
        <v>-3.1320000000000001</v>
      </c>
      <c r="BF92" s="56">
        <v>0</v>
      </c>
      <c r="BJ92" s="52" t="s">
        <v>80</v>
      </c>
      <c r="BK92" s="62" cm="1">
        <f t="array" ref="BK92:BK94">_xlfn.ANCHORARRAY(AU59)</f>
        <v>0</v>
      </c>
      <c r="BL92" s="62">
        <f>('Carga y Reparto'!P81/TTHH!C106)*100</f>
        <v>0</v>
      </c>
      <c r="BM92" s="66"/>
      <c r="BN92" s="56">
        <f>BK92+BM92</f>
        <v>0</v>
      </c>
      <c r="BO92" s="56">
        <f>IFERROR(BN92/'Carga y Reparto'!Q81,0)</f>
        <v>0</v>
      </c>
      <c r="BP92" s="52">
        <f>TTHH!C93</f>
        <v>0</v>
      </c>
      <c r="BS92" s="52" t="s">
        <v>72</v>
      </c>
      <c r="BT92" s="66">
        <v>0.56000000000000005</v>
      </c>
      <c r="BU92" s="52">
        <v>14.8</v>
      </c>
      <c r="BV92" s="56">
        <f t="shared" si="41"/>
        <v>8.288000000000002</v>
      </c>
      <c r="BW92" s="52">
        <v>1.2</v>
      </c>
      <c r="BX92" s="56">
        <f t="shared" si="42"/>
        <v>0.67200000000000004</v>
      </c>
      <c r="BY92" s="52">
        <v>-2.9</v>
      </c>
      <c r="BZ92" s="56">
        <f t="shared" si="43"/>
        <v>-1.6240000000000001</v>
      </c>
      <c r="CA92" s="66">
        <f>IF(AND(BO86&lt;TTHH!D87,BO86&lt;&gt;0),TTHH!H87,0)</f>
        <v>0</v>
      </c>
      <c r="CE92" s="52" t="s">
        <v>72</v>
      </c>
      <c r="CF92" s="56">
        <v>0</v>
      </c>
      <c r="CG92" s="52">
        <v>14.8</v>
      </c>
      <c r="CH92" s="56">
        <f t="shared" si="44"/>
        <v>0</v>
      </c>
      <c r="CI92" s="52">
        <v>1.2</v>
      </c>
      <c r="CJ92" s="56">
        <f t="shared" si="45"/>
        <v>0</v>
      </c>
      <c r="CK92" s="52">
        <v>-2.9</v>
      </c>
      <c r="CL92" s="56">
        <f t="shared" si="46"/>
        <v>0</v>
      </c>
      <c r="CM92" s="56">
        <f>IF(AND(BO86&lt;TTHH!D87,BO86&lt;&gt;0),TTHH!H87,0)</f>
        <v>0</v>
      </c>
    </row>
    <row r="93" spans="12:91" x14ac:dyDescent="0.3">
      <c r="L93" s="52" t="s">
        <v>73</v>
      </c>
      <c r="M93" s="56">
        <v>0.72000000000000008</v>
      </c>
      <c r="N93" s="52">
        <v>14.5</v>
      </c>
      <c r="O93" s="56">
        <f t="shared" si="32"/>
        <v>10.440000000000001</v>
      </c>
      <c r="P93" s="52">
        <v>26.2</v>
      </c>
      <c r="Q93" s="56">
        <f t="shared" si="33"/>
        <v>18.864000000000001</v>
      </c>
      <c r="R93" s="52">
        <v>-2.8</v>
      </c>
      <c r="S93" s="56">
        <f t="shared" si="34"/>
        <v>-2.016</v>
      </c>
      <c r="T93" s="56">
        <v>0</v>
      </c>
      <c r="AE93" s="52" t="s">
        <v>73</v>
      </c>
      <c r="AF93" s="56">
        <v>0.72000000000000008</v>
      </c>
      <c r="AG93" s="52">
        <v>14.5</v>
      </c>
      <c r="AH93" s="56">
        <f t="shared" si="35"/>
        <v>10.440000000000001</v>
      </c>
      <c r="AI93" s="52">
        <v>26.2</v>
      </c>
      <c r="AJ93" s="56">
        <f t="shared" si="36"/>
        <v>18.864000000000001</v>
      </c>
      <c r="AK93" s="52">
        <v>-2.8</v>
      </c>
      <c r="AL93" s="56">
        <f t="shared" si="37"/>
        <v>-2.016</v>
      </c>
      <c r="AM93" s="56">
        <v>0</v>
      </c>
      <c r="AX93" s="52" t="s">
        <v>73</v>
      </c>
      <c r="AY93" s="56">
        <v>0.72000000000000008</v>
      </c>
      <c r="AZ93" s="52">
        <v>14.5</v>
      </c>
      <c r="BA93" s="56">
        <f t="shared" si="38"/>
        <v>10.440000000000001</v>
      </c>
      <c r="BB93" s="52">
        <v>26.2</v>
      </c>
      <c r="BC93" s="56">
        <f t="shared" si="39"/>
        <v>18.864000000000001</v>
      </c>
      <c r="BD93" s="52">
        <v>-2.8</v>
      </c>
      <c r="BE93" s="56">
        <f t="shared" si="40"/>
        <v>-2.016</v>
      </c>
      <c r="BF93" s="56">
        <v>0</v>
      </c>
      <c r="BJ93" s="52" t="s">
        <v>81</v>
      </c>
      <c r="BK93" s="62">
        <v>0</v>
      </c>
      <c r="BL93" s="62">
        <f>('Carga y Reparto'!P82/TTHH!C107)*100</f>
        <v>0</v>
      </c>
      <c r="BM93" s="66"/>
      <c r="BN93" s="56">
        <f>BK93+BM93</f>
        <v>0</v>
      </c>
      <c r="BO93" s="56">
        <f>IFERROR(BN93/'Carga y Reparto'!Q82,0)</f>
        <v>0</v>
      </c>
      <c r="BP93" s="52">
        <f>TTHH!C94</f>
        <v>0</v>
      </c>
      <c r="BS93" s="52" t="s">
        <v>73</v>
      </c>
      <c r="BT93" s="66">
        <v>0.36</v>
      </c>
      <c r="BU93" s="52">
        <v>14.5</v>
      </c>
      <c r="BV93" s="56">
        <f t="shared" si="41"/>
        <v>5.22</v>
      </c>
      <c r="BW93" s="52">
        <v>26.2</v>
      </c>
      <c r="BX93" s="56">
        <f t="shared" si="42"/>
        <v>9.4319999999999986</v>
      </c>
      <c r="BY93" s="52">
        <v>-2.8</v>
      </c>
      <c r="BZ93" s="56">
        <f t="shared" si="43"/>
        <v>-1.008</v>
      </c>
      <c r="CA93" s="66">
        <f>IF(AND(BO87&lt;TTHH!D88,BO87&lt;&gt;0),TTHH!H88,0)</f>
        <v>0</v>
      </c>
      <c r="CE93" s="52" t="s">
        <v>73</v>
      </c>
      <c r="CF93" s="56">
        <v>0</v>
      </c>
      <c r="CG93" s="52">
        <v>14.5</v>
      </c>
      <c r="CH93" s="56">
        <f t="shared" si="44"/>
        <v>0</v>
      </c>
      <c r="CI93" s="52">
        <v>26.2</v>
      </c>
      <c r="CJ93" s="56">
        <f t="shared" si="45"/>
        <v>0</v>
      </c>
      <c r="CK93" s="52">
        <v>-2.8</v>
      </c>
      <c r="CL93" s="56">
        <f t="shared" si="46"/>
        <v>0</v>
      </c>
      <c r="CM93" s="56">
        <f>IF(AND(BO87&lt;TTHH!D88,BO87&lt;&gt;0),TTHH!H88,0)</f>
        <v>0</v>
      </c>
    </row>
    <row r="94" spans="12:91" x14ac:dyDescent="0.3">
      <c r="L94" s="52" t="s">
        <v>74</v>
      </c>
      <c r="M94" s="56">
        <v>0.72000000000000008</v>
      </c>
      <c r="N94" s="52">
        <v>14.5</v>
      </c>
      <c r="O94" s="56">
        <f t="shared" si="32"/>
        <v>10.440000000000001</v>
      </c>
      <c r="P94" s="52">
        <v>26.2</v>
      </c>
      <c r="Q94" s="56">
        <f t="shared" si="33"/>
        <v>18.864000000000001</v>
      </c>
      <c r="R94" s="52">
        <v>-3.6</v>
      </c>
      <c r="S94" s="56">
        <f t="shared" si="34"/>
        <v>-2.5920000000000005</v>
      </c>
      <c r="T94" s="56">
        <v>0</v>
      </c>
      <c r="AE94" s="52" t="s">
        <v>74</v>
      </c>
      <c r="AF94" s="56">
        <v>0.72000000000000008</v>
      </c>
      <c r="AG94" s="52">
        <v>14.5</v>
      </c>
      <c r="AH94" s="56">
        <f t="shared" si="35"/>
        <v>10.440000000000001</v>
      </c>
      <c r="AI94" s="52">
        <v>26.2</v>
      </c>
      <c r="AJ94" s="56">
        <f t="shared" si="36"/>
        <v>18.864000000000001</v>
      </c>
      <c r="AK94" s="52">
        <v>-3.6</v>
      </c>
      <c r="AL94" s="56">
        <f t="shared" si="37"/>
        <v>-2.5920000000000005</v>
      </c>
      <c r="AM94" s="56">
        <v>0</v>
      </c>
      <c r="AX94" s="52" t="s">
        <v>74</v>
      </c>
      <c r="AY94" s="56">
        <v>0.72000000000000008</v>
      </c>
      <c r="AZ94" s="52">
        <v>14.5</v>
      </c>
      <c r="BA94" s="56">
        <f t="shared" si="38"/>
        <v>10.440000000000001</v>
      </c>
      <c r="BB94" s="52">
        <v>26.2</v>
      </c>
      <c r="BC94" s="56">
        <f t="shared" si="39"/>
        <v>18.864000000000001</v>
      </c>
      <c r="BD94" s="52">
        <v>-3.6</v>
      </c>
      <c r="BE94" s="56">
        <f t="shared" si="40"/>
        <v>-2.5920000000000005</v>
      </c>
      <c r="BF94" s="56">
        <v>0</v>
      </c>
      <c r="BJ94" s="52" t="s">
        <v>82</v>
      </c>
      <c r="BK94" s="62">
        <v>0</v>
      </c>
      <c r="BL94" s="62">
        <f>('Carga y Reparto'!P83/TTHH!C108)*100</f>
        <v>0</v>
      </c>
      <c r="BM94" s="66"/>
      <c r="BN94" s="56">
        <f>BK94+BM94</f>
        <v>0</v>
      </c>
      <c r="BO94" s="56">
        <f>IFERROR(BN94/'Carga y Reparto'!Q83,0)</f>
        <v>0</v>
      </c>
      <c r="BP94" s="52">
        <f>TTHH!C95</f>
        <v>0</v>
      </c>
      <c r="BS94" s="52" t="s">
        <v>74</v>
      </c>
      <c r="BT94" s="66">
        <v>0.36</v>
      </c>
      <c r="BU94" s="52">
        <v>14.5</v>
      </c>
      <c r="BV94" s="56">
        <f t="shared" si="41"/>
        <v>5.22</v>
      </c>
      <c r="BW94" s="52">
        <v>26.2</v>
      </c>
      <c r="BX94" s="56">
        <f t="shared" si="42"/>
        <v>9.4319999999999986</v>
      </c>
      <c r="BY94" s="52">
        <v>-3.6</v>
      </c>
      <c r="BZ94" s="56">
        <f t="shared" si="43"/>
        <v>-1.296</v>
      </c>
      <c r="CA94" s="66">
        <f>IF(AND(BO88&lt;TTHH!D89,BO88&lt;&gt;0),TTHH!H89,0)</f>
        <v>0</v>
      </c>
      <c r="CE94" s="52" t="s">
        <v>74</v>
      </c>
      <c r="CF94" s="56">
        <v>0</v>
      </c>
      <c r="CG94" s="52">
        <v>14.5</v>
      </c>
      <c r="CH94" s="56">
        <f t="shared" si="44"/>
        <v>0</v>
      </c>
      <c r="CI94" s="52">
        <v>26.2</v>
      </c>
      <c r="CJ94" s="56">
        <f t="shared" si="45"/>
        <v>0</v>
      </c>
      <c r="CK94" s="52">
        <v>-3.6</v>
      </c>
      <c r="CL94" s="56">
        <f t="shared" si="46"/>
        <v>0</v>
      </c>
      <c r="CM94" s="56">
        <f>IF(AND(BO88&lt;TTHH!D89,BO88&lt;&gt;0),TTHH!H89,0)</f>
        <v>0</v>
      </c>
    </row>
    <row r="95" spans="12:91" x14ac:dyDescent="0.3">
      <c r="L95" s="54" t="s">
        <v>75</v>
      </c>
      <c r="M95" s="38"/>
      <c r="N95" s="38"/>
      <c r="O95" s="38"/>
      <c r="P95" s="38"/>
      <c r="Q95" s="38"/>
      <c r="R95" s="38"/>
      <c r="S95" s="38"/>
      <c r="T95" s="38"/>
      <c r="AE95" s="54" t="s">
        <v>75</v>
      </c>
      <c r="AF95" s="38"/>
      <c r="AG95" s="51">
        <v>0</v>
      </c>
      <c r="AH95" s="51"/>
      <c r="AI95" s="51">
        <v>0</v>
      </c>
      <c r="AJ95" s="51"/>
      <c r="AK95" s="51">
        <v>0</v>
      </c>
      <c r="AL95" s="38"/>
      <c r="AM95" s="38"/>
      <c r="AX95" s="54" t="s">
        <v>75</v>
      </c>
      <c r="AY95" s="38"/>
      <c r="AZ95" s="51">
        <v>0</v>
      </c>
      <c r="BA95" s="51"/>
      <c r="BB95" s="51">
        <v>0</v>
      </c>
      <c r="BC95" s="51"/>
      <c r="BD95" s="51">
        <v>0</v>
      </c>
      <c r="BE95" s="38"/>
      <c r="BF95" s="38"/>
      <c r="BS95" s="54" t="s">
        <v>75</v>
      </c>
      <c r="BT95" s="38"/>
      <c r="BU95" s="51">
        <v>0</v>
      </c>
      <c r="BV95" s="51"/>
      <c r="BW95" s="51">
        <v>0</v>
      </c>
      <c r="BX95" s="51"/>
      <c r="BY95" s="51">
        <v>0</v>
      </c>
      <c r="BZ95" s="38"/>
      <c r="CA95" s="38"/>
      <c r="CE95" s="54" t="s">
        <v>75</v>
      </c>
      <c r="CF95" s="38"/>
      <c r="CG95" s="51">
        <v>0</v>
      </c>
      <c r="CH95" s="51"/>
      <c r="CI95" s="51">
        <v>0</v>
      </c>
      <c r="CJ95" s="51"/>
      <c r="CK95" s="51">
        <v>0</v>
      </c>
      <c r="CL95" s="38"/>
      <c r="CM95" s="38"/>
    </row>
    <row r="96" spans="12:91" x14ac:dyDescent="0.3">
      <c r="L96" s="52" t="s">
        <v>76</v>
      </c>
      <c r="M96" s="56" cm="1">
        <f t="array" ref="M96:M97">_xlfn.ANCHORARRAY(F26)</f>
        <v>105.5</v>
      </c>
      <c r="N96" s="52" cm="1">
        <f t="array" ref="N96:N97">_xlfn.ANCHORARRAY('Condición Llegada'!V69)</f>
        <v>15.85</v>
      </c>
      <c r="O96" s="56">
        <f>M96*N96</f>
        <v>1672.175</v>
      </c>
      <c r="P96" s="52" cm="1">
        <f t="array" ref="P96:P97">_xlfn.ANCHORARRAY('Condición Llegada'!X69)</f>
        <v>-0.81</v>
      </c>
      <c r="Q96" s="56">
        <f>M96*P96</f>
        <v>-85.455000000000013</v>
      </c>
      <c r="R96" s="52" cm="1">
        <f t="array" ref="R96:R101">'Condición Llegada'!Z69:Z74</f>
        <v>-8.2200000000000006</v>
      </c>
      <c r="S96" s="56">
        <f>M96*R96</f>
        <v>-867.21</v>
      </c>
      <c r="T96" s="56" cm="1">
        <f t="array" ref="T96:T97">'Condición Día D'!AB69:AB70</f>
        <v>87</v>
      </c>
      <c r="AE96" s="52" t="s">
        <v>76</v>
      </c>
      <c r="AF96" s="56" cm="1">
        <f t="array" ref="AF96:AF97">_xlfn.ANCHORARRAY(Y26)</f>
        <v>105.5</v>
      </c>
      <c r="AG96" s="52">
        <v>15.85</v>
      </c>
      <c r="AH96" s="56">
        <f>AF96*AG96</f>
        <v>1672.175</v>
      </c>
      <c r="AI96" s="52">
        <v>-0.81</v>
      </c>
      <c r="AJ96" s="56">
        <f>AF96*AI96</f>
        <v>-85.455000000000013</v>
      </c>
      <c r="AK96" s="52">
        <v>-8.2200000000000006</v>
      </c>
      <c r="AL96" s="56">
        <f>AF96*AK96</f>
        <v>-867.21</v>
      </c>
      <c r="AM96" s="56" cm="1">
        <f t="array" ref="AM96:AM97">_xlfn.ANCHORARRAY(T96)</f>
        <v>87</v>
      </c>
      <c r="AX96" s="52" t="s">
        <v>76</v>
      </c>
      <c r="AY96" s="56" cm="1">
        <f t="array" ref="AY96:AY97">_xlfn.ANCHORARRAY(AR26)</f>
        <v>105.5</v>
      </c>
      <c r="AZ96" s="52">
        <v>15.85</v>
      </c>
      <c r="BA96" s="56">
        <f>AY96*AZ96</f>
        <v>1672.175</v>
      </c>
      <c r="BB96" s="52">
        <v>-0.81</v>
      </c>
      <c r="BC96" s="56">
        <f>AY96*BB96</f>
        <v>-85.455000000000013</v>
      </c>
      <c r="BD96" s="52">
        <v>-8.2200000000000006</v>
      </c>
      <c r="BE96" s="56">
        <f>AY96*BD96</f>
        <v>-867.21</v>
      </c>
      <c r="BF96" s="56" cm="1">
        <f t="array" ref="BF96:BF97">_xlfn.ANCHORARRAY(AM96)</f>
        <v>87</v>
      </c>
      <c r="BS96" s="52" t="s">
        <v>76</v>
      </c>
      <c r="BT96" s="66">
        <v>52.75</v>
      </c>
      <c r="BU96" s="52">
        <v>15.85</v>
      </c>
      <c r="BV96" s="56">
        <f>BT96*BU96</f>
        <v>836.08749999999998</v>
      </c>
      <c r="BW96" s="52">
        <v>-0.81</v>
      </c>
      <c r="BX96" s="56">
        <f>BT96*BW96</f>
        <v>-42.727500000000006</v>
      </c>
      <c r="BY96" s="52">
        <v>-8.2200000000000006</v>
      </c>
      <c r="BZ96" s="56">
        <f>BT96*BY96</f>
        <v>-433.60500000000002</v>
      </c>
      <c r="CA96" s="66">
        <v>87</v>
      </c>
      <c r="CE96" s="52" t="s">
        <v>76</v>
      </c>
      <c r="CF96" s="56" cm="1">
        <f t="array" ref="CF96:CF97">BN26:BN27</f>
        <v>0</v>
      </c>
      <c r="CG96" s="52">
        <v>15.85</v>
      </c>
      <c r="CH96" s="56">
        <f>CF96*CG96</f>
        <v>0</v>
      </c>
      <c r="CI96" s="52">
        <v>-0.81</v>
      </c>
      <c r="CJ96" s="56">
        <f>CF96*CI96</f>
        <v>0</v>
      </c>
      <c r="CK96" s="52">
        <v>-8.2200000000000006</v>
      </c>
      <c r="CL96" s="56">
        <f>CF96*CK96</f>
        <v>0</v>
      </c>
      <c r="CM96" s="56">
        <f>IF(AND(BO26&lt;TTHH!D97,BO26&lt;&gt;0),TTHH!H97,0)</f>
        <v>0</v>
      </c>
    </row>
    <row r="97" spans="5:98" x14ac:dyDescent="0.3">
      <c r="L97" s="52" t="s">
        <v>77</v>
      </c>
      <c r="M97" s="56">
        <v>0</v>
      </c>
      <c r="N97" s="52">
        <v>15.85</v>
      </c>
      <c r="O97" s="56">
        <f>M97*N97</f>
        <v>0</v>
      </c>
      <c r="P97" s="52">
        <v>-0.81</v>
      </c>
      <c r="Q97" s="56">
        <f>M97*P97</f>
        <v>0</v>
      </c>
      <c r="R97" s="52">
        <v>8.2200000000000006</v>
      </c>
      <c r="S97" s="56">
        <f>M97*R97</f>
        <v>0</v>
      </c>
      <c r="T97" s="56">
        <v>0</v>
      </c>
      <c r="AE97" s="52" t="s">
        <v>77</v>
      </c>
      <c r="AF97" s="56">
        <v>0</v>
      </c>
      <c r="AG97" s="52">
        <v>15.85</v>
      </c>
      <c r="AH97" s="56">
        <f>AF97*AG97</f>
        <v>0</v>
      </c>
      <c r="AI97" s="52">
        <v>-0.81</v>
      </c>
      <c r="AJ97" s="56">
        <f>AF97*AI97</f>
        <v>0</v>
      </c>
      <c r="AK97" s="52">
        <v>8.2200000000000006</v>
      </c>
      <c r="AL97" s="56">
        <f>AF97*AK97</f>
        <v>0</v>
      </c>
      <c r="AM97" s="56">
        <v>0</v>
      </c>
      <c r="AX97" s="52" t="s">
        <v>77</v>
      </c>
      <c r="AY97" s="56">
        <v>0</v>
      </c>
      <c r="AZ97" s="52">
        <v>15.85</v>
      </c>
      <c r="BA97" s="56">
        <f>AY97*AZ97</f>
        <v>0</v>
      </c>
      <c r="BB97" s="52">
        <v>-0.81</v>
      </c>
      <c r="BC97" s="56">
        <f>AY97*BB97</f>
        <v>0</v>
      </c>
      <c r="BD97" s="52">
        <v>8.2200000000000006</v>
      </c>
      <c r="BE97" s="56">
        <f>AY97*BD97</f>
        <v>0</v>
      </c>
      <c r="BF97" s="56">
        <v>0</v>
      </c>
      <c r="BS97" s="52" t="s">
        <v>77</v>
      </c>
      <c r="BT97" s="66">
        <v>52.75</v>
      </c>
      <c r="BU97" s="52">
        <v>15.85</v>
      </c>
      <c r="BV97" s="56">
        <f>BT97*BU97</f>
        <v>836.08749999999998</v>
      </c>
      <c r="BW97" s="52">
        <v>-0.81</v>
      </c>
      <c r="BX97" s="56">
        <f>BT97*BW97</f>
        <v>-42.727500000000006</v>
      </c>
      <c r="BY97" s="52">
        <v>8.2200000000000006</v>
      </c>
      <c r="BZ97" s="56">
        <f>BT97*BY97</f>
        <v>433.60500000000002</v>
      </c>
      <c r="CA97" s="66">
        <f>IF(AND(BO27&lt;TTHH!D98,BO27&lt;&gt;0),TTHH!H98,0)</f>
        <v>87</v>
      </c>
      <c r="CE97" s="52" t="s">
        <v>77</v>
      </c>
      <c r="CF97" s="56">
        <v>105.5</v>
      </c>
      <c r="CG97" s="52">
        <v>15.85</v>
      </c>
      <c r="CH97" s="56">
        <f>CF97*CG97</f>
        <v>1672.175</v>
      </c>
      <c r="CI97" s="52">
        <v>-0.81</v>
      </c>
      <c r="CJ97" s="56">
        <f>CF97*CI97</f>
        <v>-85.455000000000013</v>
      </c>
      <c r="CK97" s="52">
        <v>8.2200000000000006</v>
      </c>
      <c r="CL97" s="56">
        <f>CF97*CK97</f>
        <v>867.21</v>
      </c>
      <c r="CM97" s="56">
        <f>IF(AND(BO27&lt;TTHH!D98,BO27&lt;&gt;0),TTHH!H98,0)</f>
        <v>87</v>
      </c>
    </row>
    <row r="98" spans="5:98" x14ac:dyDescent="0.3">
      <c r="L98" s="54" t="s">
        <v>79</v>
      </c>
      <c r="M98" s="38"/>
      <c r="N98" s="38"/>
      <c r="O98" s="38"/>
      <c r="P98" s="38"/>
      <c r="Q98" s="38"/>
      <c r="R98" s="51">
        <v>0</v>
      </c>
      <c r="S98" s="38"/>
      <c r="T98" s="38"/>
      <c r="AE98" s="54" t="s">
        <v>79</v>
      </c>
      <c r="AF98" s="38"/>
      <c r="AG98" s="51">
        <v>0</v>
      </c>
      <c r="AH98" s="51"/>
      <c r="AI98" s="51">
        <v>0</v>
      </c>
      <c r="AJ98" s="51"/>
      <c r="AK98" s="51">
        <v>0</v>
      </c>
      <c r="AL98" s="38"/>
      <c r="AM98" s="38"/>
      <c r="AX98" s="54" t="s">
        <v>79</v>
      </c>
      <c r="AY98" s="38"/>
      <c r="AZ98" s="51">
        <v>0</v>
      </c>
      <c r="BA98" s="51"/>
      <c r="BB98" s="51">
        <v>0</v>
      </c>
      <c r="BC98" s="51"/>
      <c r="BD98" s="51">
        <v>0</v>
      </c>
      <c r="BE98" s="38"/>
      <c r="BF98" s="38"/>
      <c r="BJ98" s="29" t="s">
        <v>370</v>
      </c>
      <c r="BK98" s="40">
        <f ca="1">CA112/BT112</f>
        <v>1.4219880827145736E-2</v>
      </c>
      <c r="BM98" s="29" t="s">
        <v>393</v>
      </c>
      <c r="BN98" s="32">
        <f ca="1">IFERROR(BV125/BT112,"")</f>
        <v>0.54279323249686551</v>
      </c>
      <c r="BS98" s="54" t="s">
        <v>79</v>
      </c>
      <c r="BT98" s="38"/>
      <c r="BU98" s="51">
        <v>0</v>
      </c>
      <c r="BV98" s="51"/>
      <c r="BW98" s="51">
        <v>0</v>
      </c>
      <c r="BX98" s="51"/>
      <c r="BY98" s="51">
        <v>0</v>
      </c>
      <c r="BZ98" s="38"/>
      <c r="CA98" s="38"/>
      <c r="CE98" s="54" t="s">
        <v>79</v>
      </c>
      <c r="CF98" s="38"/>
      <c r="CG98" s="51">
        <v>0</v>
      </c>
      <c r="CH98" s="51"/>
      <c r="CI98" s="51">
        <v>0</v>
      </c>
      <c r="CJ98" s="51"/>
      <c r="CK98" s="51">
        <v>0</v>
      </c>
      <c r="CL98" s="38"/>
      <c r="CM98" s="38"/>
    </row>
    <row r="99" spans="5:98" x14ac:dyDescent="0.3">
      <c r="L99" s="52" t="s">
        <v>80</v>
      </c>
      <c r="M99" s="56" cm="1">
        <f t="array" ref="M99:M101">_xlfn.ANCHORARRAY(I59)</f>
        <v>0</v>
      </c>
      <c r="N99" s="52" cm="1">
        <f t="array" ref="N99:N101">_xlfn.ANCHORARRAY('Condición Llegada'!V72)</f>
        <v>1.5</v>
      </c>
      <c r="O99" s="56">
        <f>M99*N99</f>
        <v>0</v>
      </c>
      <c r="P99" s="52" cm="1">
        <f t="array" ref="P99:P101">_xlfn.ANCHORARRAY('Condición Llegada'!X72)</f>
        <v>16.23</v>
      </c>
      <c r="Q99" s="56">
        <f>M99*P99</f>
        <v>0</v>
      </c>
      <c r="R99" s="52">
        <v>-2.4500000000000002</v>
      </c>
      <c r="S99" s="56">
        <f>M99*R99</f>
        <v>0</v>
      </c>
      <c r="T99" s="56" cm="1">
        <f t="array" ref="T99:T101">'Condición Día D'!AB72:AB74</f>
        <v>0</v>
      </c>
      <c r="AE99" s="52" t="s">
        <v>80</v>
      </c>
      <c r="AF99" s="56" cm="1">
        <f t="array" ref="AF99:AF101">_xlfn.ANCHORARRAY(AB59)</f>
        <v>0</v>
      </c>
      <c r="AG99" s="52">
        <v>1.5</v>
      </c>
      <c r="AH99" s="56">
        <f>AF99*AG99</f>
        <v>0</v>
      </c>
      <c r="AI99" s="52">
        <v>16.23</v>
      </c>
      <c r="AJ99" s="56">
        <f>AF99*AI99</f>
        <v>0</v>
      </c>
      <c r="AK99" s="52">
        <v>-2.4500000000000002</v>
      </c>
      <c r="AL99" s="56">
        <f>AF99*AK99</f>
        <v>0</v>
      </c>
      <c r="AM99" s="56" cm="1">
        <f t="array" ref="AM99:AM101">_xlfn.ANCHORARRAY(T99)</f>
        <v>0</v>
      </c>
      <c r="AX99" s="52" t="s">
        <v>80</v>
      </c>
      <c r="AY99" s="56" cm="1">
        <f t="array" ref="AY99:AY101">_xlfn.ANCHORARRAY(AU59)</f>
        <v>0</v>
      </c>
      <c r="AZ99" s="52">
        <v>1.5</v>
      </c>
      <c r="BA99" s="56">
        <f>AY99*AZ99</f>
        <v>0</v>
      </c>
      <c r="BB99" s="52">
        <v>16.23</v>
      </c>
      <c r="BC99" s="56">
        <f>AY99*BB99</f>
        <v>0</v>
      </c>
      <c r="BD99" s="52">
        <v>-2.4500000000000002</v>
      </c>
      <c r="BE99" s="56">
        <f>AY99*BD99</f>
        <v>0</v>
      </c>
      <c r="BF99" s="56" cm="1">
        <f t="array" ref="BF99:BF101">_xlfn.ANCHORARRAY(AM99)</f>
        <v>0</v>
      </c>
      <c r="BJ99" s="29" t="s">
        <v>390</v>
      </c>
      <c r="BK99" s="40">
        <f ca="1">IFERROR(FORECAST(BK104, OFFSET(TTHH!CR10, MATCH(BK104,Tabla4[[#All],[Columna1]],1)-1, 0, 2), OFFSET(TTHH!CL10, MATCH(BK104,Tabla4[[#All],[Columna1]],1)-1, 0, 2)),"")</f>
        <v>8.8502381724295756</v>
      </c>
      <c r="BM99" s="29" t="s">
        <v>394</v>
      </c>
      <c r="BN99" s="32">
        <f ca="1">IFERROR(0.8*BN98,"")</f>
        <v>0.43423458599749243</v>
      </c>
      <c r="BS99" s="52" t="s">
        <v>80</v>
      </c>
      <c r="BT99" s="56">
        <f>BN92</f>
        <v>0</v>
      </c>
      <c r="BU99" s="52">
        <v>1.5</v>
      </c>
      <c r="BV99" s="56">
        <f>BT99*BU99</f>
        <v>0</v>
      </c>
      <c r="BW99" s="52">
        <v>16.23</v>
      </c>
      <c r="BX99" s="56">
        <f>BT99*BW99</f>
        <v>0</v>
      </c>
      <c r="BY99" s="52">
        <v>-2.4500000000000002</v>
      </c>
      <c r="BZ99" s="56">
        <f>BT99*BY99</f>
        <v>0</v>
      </c>
      <c r="CA99" s="56">
        <f>IF(AND(BO92&lt;TTHH!D106,BO92&lt;&gt;0),TTHH!H106,0)</f>
        <v>0</v>
      </c>
      <c r="CE99" s="52" t="s">
        <v>80</v>
      </c>
      <c r="CF99" s="56" cm="1">
        <f t="array" ref="CF99:CF101">BN92:BN94</f>
        <v>0</v>
      </c>
      <c r="CG99" s="52">
        <v>1.5</v>
      </c>
      <c r="CH99" s="56">
        <f>CF99*CG99</f>
        <v>0</v>
      </c>
      <c r="CI99" s="52">
        <v>16.23</v>
      </c>
      <c r="CJ99" s="56">
        <f>CF99*CI99</f>
        <v>0</v>
      </c>
      <c r="CK99" s="52">
        <v>-2.4500000000000002</v>
      </c>
      <c r="CL99" s="56">
        <f>CF99*CK99</f>
        <v>0</v>
      </c>
      <c r="CM99" s="56">
        <f>IF(AND(BO92&lt;TTHH!D106,BO92&lt;&gt;0),TTHH!H106,0)</f>
        <v>0</v>
      </c>
    </row>
    <row r="100" spans="5:98" x14ac:dyDescent="0.3">
      <c r="L100" s="52" t="s">
        <v>81</v>
      </c>
      <c r="M100" s="56">
        <v>0</v>
      </c>
      <c r="N100" s="52">
        <v>1.46</v>
      </c>
      <c r="O100" s="56">
        <f>M100*N100</f>
        <v>0</v>
      </c>
      <c r="P100" s="52">
        <v>17.25</v>
      </c>
      <c r="Q100" s="56">
        <f>M100*P100</f>
        <v>0</v>
      </c>
      <c r="R100" s="52">
        <v>2.56</v>
      </c>
      <c r="S100" s="56">
        <f>M100*R100</f>
        <v>0</v>
      </c>
      <c r="T100" s="56">
        <v>0</v>
      </c>
      <c r="AE100" s="52" t="s">
        <v>81</v>
      </c>
      <c r="AF100" s="56">
        <v>0</v>
      </c>
      <c r="AG100" s="52">
        <v>1.46</v>
      </c>
      <c r="AH100" s="56">
        <f>AF100*AG100</f>
        <v>0</v>
      </c>
      <c r="AI100" s="52">
        <v>17.25</v>
      </c>
      <c r="AJ100" s="56">
        <f>AF100*AI100</f>
        <v>0</v>
      </c>
      <c r="AK100" s="52">
        <v>2.56</v>
      </c>
      <c r="AL100" s="56">
        <f>AF100*AK100</f>
        <v>0</v>
      </c>
      <c r="AM100" s="56">
        <v>0</v>
      </c>
      <c r="AX100" s="52" t="s">
        <v>81</v>
      </c>
      <c r="AY100" s="56">
        <v>0</v>
      </c>
      <c r="AZ100" s="52">
        <v>1.46</v>
      </c>
      <c r="BA100" s="56">
        <f>AY100*AZ100</f>
        <v>0</v>
      </c>
      <c r="BB100" s="52">
        <v>17.25</v>
      </c>
      <c r="BC100" s="56">
        <f>AY100*BB100</f>
        <v>0</v>
      </c>
      <c r="BD100" s="52">
        <v>2.56</v>
      </c>
      <c r="BE100" s="56">
        <f>AY100*BD100</f>
        <v>0</v>
      </c>
      <c r="BF100" s="56">
        <v>0</v>
      </c>
      <c r="BJ100" s="29" t="s">
        <v>391</v>
      </c>
      <c r="BK100" s="40">
        <f ca="1">IFERROR(FORECAST(BK104, OFFSET(TTHH!P22, MATCH(BK104,Tabla22[[#All],[Columna1]],1)-1, 0, 2), OFFSET(TTHH!J22, MATCH(BK104,Tabla22[[#All],[Columna1]],1)-1, 0, 2)),"")</f>
        <v>13.703302636267605</v>
      </c>
      <c r="BM100" s="29" t="s">
        <v>395</v>
      </c>
      <c r="BN100" s="32">
        <f ca="1">IFERROR(BK99-BT12*SIN(RADIANS(40))-ABS(BY112)*COS(RADIANS(40)),"")</f>
        <v>1.640962547548271</v>
      </c>
      <c r="BS100" s="52" t="s">
        <v>81</v>
      </c>
      <c r="BT100" s="56">
        <f>BN93</f>
        <v>0</v>
      </c>
      <c r="BU100" s="52">
        <v>1.46</v>
      </c>
      <c r="BV100" s="56">
        <f>BT100*BU100</f>
        <v>0</v>
      </c>
      <c r="BW100" s="52">
        <v>17.25</v>
      </c>
      <c r="BX100" s="56">
        <f>BT100*BW100</f>
        <v>0</v>
      </c>
      <c r="BY100" s="52">
        <v>2.56</v>
      </c>
      <c r="BZ100" s="56">
        <f>BT100*BY100</f>
        <v>0</v>
      </c>
      <c r="CA100" s="56">
        <f>IF(AND(BO93&lt;TTHH!D107,BO93&lt;&gt;0),TTHH!H107,0)</f>
        <v>0</v>
      </c>
      <c r="CE100" s="52" t="s">
        <v>81</v>
      </c>
      <c r="CF100" s="56">
        <v>0</v>
      </c>
      <c r="CG100" s="52">
        <v>1.46</v>
      </c>
      <c r="CH100" s="56">
        <f>CF100*CG100</f>
        <v>0</v>
      </c>
      <c r="CI100" s="52">
        <v>17.25</v>
      </c>
      <c r="CJ100" s="56">
        <f>CF100*CI100</f>
        <v>0</v>
      </c>
      <c r="CK100" s="52">
        <v>2.56</v>
      </c>
      <c r="CL100" s="56">
        <f>CF100*CK100</f>
        <v>0</v>
      </c>
      <c r="CM100" s="56">
        <f>IF(AND(BO93&lt;TTHH!D107,BO93&lt;&gt;0),TTHH!H107,0)</f>
        <v>0</v>
      </c>
    </row>
    <row r="101" spans="5:98" x14ac:dyDescent="0.3">
      <c r="L101" s="52" t="s">
        <v>82</v>
      </c>
      <c r="M101" s="56">
        <v>0</v>
      </c>
      <c r="N101" s="52">
        <v>1.58</v>
      </c>
      <c r="O101" s="56">
        <f>M101*N101</f>
        <v>0</v>
      </c>
      <c r="P101" s="52">
        <v>8.89</v>
      </c>
      <c r="Q101" s="56">
        <f>M101*P101</f>
        <v>0</v>
      </c>
      <c r="R101" s="52">
        <v>0</v>
      </c>
      <c r="S101" s="56">
        <f>M101*R101</f>
        <v>0</v>
      </c>
      <c r="T101" s="56">
        <v>0</v>
      </c>
      <c r="AE101" s="52" t="s">
        <v>82</v>
      </c>
      <c r="AF101" s="56">
        <v>0</v>
      </c>
      <c r="AG101" s="52">
        <v>1.58</v>
      </c>
      <c r="AH101" s="56">
        <f>AF101*AG101</f>
        <v>0</v>
      </c>
      <c r="AI101" s="52">
        <v>8.89</v>
      </c>
      <c r="AJ101" s="56">
        <f>AF101*AI101</f>
        <v>0</v>
      </c>
      <c r="AK101" s="52">
        <v>0</v>
      </c>
      <c r="AL101" s="56">
        <f>AF101*AK101</f>
        <v>0</v>
      </c>
      <c r="AM101" s="56">
        <v>0</v>
      </c>
      <c r="AX101" s="52" t="s">
        <v>82</v>
      </c>
      <c r="AY101" s="56">
        <v>0</v>
      </c>
      <c r="AZ101" s="52">
        <v>1.58</v>
      </c>
      <c r="BA101" s="56">
        <f>AY101*AZ101</f>
        <v>0</v>
      </c>
      <c r="BB101" s="52">
        <v>8.89</v>
      </c>
      <c r="BC101" s="56">
        <f>AY101*BB101</f>
        <v>0</v>
      </c>
      <c r="BD101" s="52">
        <v>0</v>
      </c>
      <c r="BE101" s="56">
        <f>AY101*BD101</f>
        <v>0</v>
      </c>
      <c r="BF101" s="56">
        <v>0</v>
      </c>
      <c r="BJ101" s="29" t="s">
        <v>392</v>
      </c>
      <c r="BK101" s="40">
        <f ca="1">IFERROR(BK100-BT11,"")</f>
        <v>4.123950908442632</v>
      </c>
      <c r="BM101" s="29" t="s">
        <v>396</v>
      </c>
      <c r="BN101" s="32">
        <f ca="1">IFERROR(RADIANS(((BN100-BN99)*(40-BK103))/2),"")</f>
        <v>0.3419967226610291</v>
      </c>
      <c r="BS101" s="52" t="s">
        <v>82</v>
      </c>
      <c r="BT101" s="56">
        <f>BN94</f>
        <v>0</v>
      </c>
      <c r="BU101" s="52">
        <v>1.58</v>
      </c>
      <c r="BV101" s="56">
        <f>BT101*BU101</f>
        <v>0</v>
      </c>
      <c r="BW101" s="52">
        <v>8.89</v>
      </c>
      <c r="BX101" s="56">
        <f>BT101*BW101</f>
        <v>0</v>
      </c>
      <c r="BY101" s="52">
        <v>0</v>
      </c>
      <c r="BZ101" s="56">
        <f>BT101*BY101</f>
        <v>0</v>
      </c>
      <c r="CA101" s="56">
        <f>IF(AND(BO94&lt;TTHH!D108,BO94&lt;&gt;0),TTHH!H108,0)</f>
        <v>0</v>
      </c>
      <c r="CE101" s="52" t="s">
        <v>82</v>
      </c>
      <c r="CF101" s="56">
        <v>0</v>
      </c>
      <c r="CG101" s="52">
        <v>1.58</v>
      </c>
      <c r="CH101" s="56">
        <f>CF101*CG101</f>
        <v>0</v>
      </c>
      <c r="CI101" s="52">
        <v>8.89</v>
      </c>
      <c r="CJ101" s="56">
        <f>CF101*CI101</f>
        <v>0</v>
      </c>
      <c r="CK101" s="52">
        <v>0</v>
      </c>
      <c r="CL101" s="56">
        <f>CF101*CK101</f>
        <v>0</v>
      </c>
      <c r="CM101" s="56">
        <f>IF(AND(BO94&lt;TTHH!D108,BO94&lt;&gt;0),TTHH!H108,0)</f>
        <v>0</v>
      </c>
    </row>
    <row r="102" spans="5:98" x14ac:dyDescent="0.3">
      <c r="L102" s="54" t="s">
        <v>84</v>
      </c>
      <c r="M102" s="38"/>
      <c r="N102" s="38"/>
      <c r="O102" s="38"/>
      <c r="P102" s="38"/>
      <c r="Q102" s="38"/>
      <c r="R102" s="38"/>
      <c r="S102" s="38"/>
      <c r="T102" s="38"/>
      <c r="AE102" s="54" t="s">
        <v>84</v>
      </c>
      <c r="AF102" s="38"/>
      <c r="AG102" s="51">
        <v>0</v>
      </c>
      <c r="AH102" s="51"/>
      <c r="AI102" s="51">
        <v>0</v>
      </c>
      <c r="AJ102" s="51"/>
      <c r="AK102" s="51">
        <v>0</v>
      </c>
      <c r="AL102" s="38"/>
      <c r="AM102" s="38"/>
      <c r="AX102" s="54" t="s">
        <v>84</v>
      </c>
      <c r="AY102" s="38"/>
      <c r="AZ102" s="51">
        <v>0</v>
      </c>
      <c r="BA102" s="51"/>
      <c r="BB102" s="51">
        <v>0</v>
      </c>
      <c r="BC102" s="51"/>
      <c r="BD102" s="51">
        <v>0</v>
      </c>
      <c r="BE102" s="38"/>
      <c r="BF102" s="38"/>
      <c r="BJ102" s="29" t="s">
        <v>397</v>
      </c>
      <c r="BK102" s="32">
        <f ca="1">IFERROR(ATAN(BV125/(BT10*BT16)),"")</f>
        <v>0.13131509662867691</v>
      </c>
      <c r="BS102" s="54" t="s">
        <v>84</v>
      </c>
      <c r="BT102" s="38"/>
      <c r="BU102" s="51">
        <v>0</v>
      </c>
      <c r="BV102" s="51"/>
      <c r="BW102" s="51">
        <v>0</v>
      </c>
      <c r="BX102" s="51"/>
      <c r="BY102" s="51">
        <v>0</v>
      </c>
      <c r="BZ102" s="38"/>
      <c r="CA102" s="38"/>
      <c r="CE102" s="54" t="s">
        <v>84</v>
      </c>
      <c r="CF102" s="38"/>
      <c r="CG102" s="51">
        <v>0</v>
      </c>
      <c r="CH102" s="51"/>
      <c r="CI102" s="51">
        <v>0</v>
      </c>
      <c r="CJ102" s="51"/>
      <c r="CK102" s="51">
        <v>0</v>
      </c>
      <c r="CL102" s="38"/>
      <c r="CM102" s="38"/>
      <c r="CP102" s="29" t="s">
        <v>370</v>
      </c>
      <c r="CQ102" s="40">
        <f ca="1">CM112/CF112</f>
        <v>1.2193228735083926E-2</v>
      </c>
      <c r="CS102" s="29" t="s">
        <v>393</v>
      </c>
      <c r="CT102" s="32">
        <f ca="1">IFERROR(CH125/CF112,"")</f>
        <v>0.54279381859513887</v>
      </c>
    </row>
    <row r="103" spans="5:98" x14ac:dyDescent="0.3">
      <c r="L103" s="52" t="s">
        <v>85</v>
      </c>
      <c r="M103" s="56" cm="1">
        <f t="array" ref="M103:M107">_xlfn.ANCHORARRAY(I23)</f>
        <v>0</v>
      </c>
      <c r="N103" s="52" cm="1">
        <f t="array" ref="N103:N107">Tabla21[[#All],[Columna5]]</f>
        <v>3.23</v>
      </c>
      <c r="O103" s="56">
        <f>M103*N103</f>
        <v>0</v>
      </c>
      <c r="P103" s="52" cm="1">
        <f t="array" ref="P103:P107">Tabla21[[#All],[Columna3]]</f>
        <v>7.26</v>
      </c>
      <c r="Q103" s="56">
        <f>M103*P103</f>
        <v>0</v>
      </c>
      <c r="R103" s="52" cm="1">
        <f t="array" ref="R103:R107">Tabla21[[#All],[Columna4]]</f>
        <v>0</v>
      </c>
      <c r="S103" s="56">
        <f>M103*R103</f>
        <v>0</v>
      </c>
      <c r="T103" s="56" cm="1">
        <f t="array" ref="T103:T107">'Condición Día D'!AB76:AB80</f>
        <v>0</v>
      </c>
      <c r="AE103" s="52" t="s">
        <v>85</v>
      </c>
      <c r="AF103" s="56" cm="1">
        <f t="array" ref="AF103:AF107">_xlfn.ANCHORARRAY(AB23)</f>
        <v>0</v>
      </c>
      <c r="AG103" s="52">
        <v>3.23</v>
      </c>
      <c r="AH103" s="56">
        <f>AF103*AG103</f>
        <v>0</v>
      </c>
      <c r="AI103" s="52">
        <v>7.26</v>
      </c>
      <c r="AJ103" s="56">
        <f>AF103*AI103</f>
        <v>0</v>
      </c>
      <c r="AK103" s="52">
        <v>0</v>
      </c>
      <c r="AL103" s="56">
        <f>AF103*AK103</f>
        <v>0</v>
      </c>
      <c r="AM103" s="56" cm="1">
        <f t="array" ref="AM103:AM107">_xlfn.ANCHORARRAY(T103)</f>
        <v>0</v>
      </c>
      <c r="AX103" s="52" t="s">
        <v>85</v>
      </c>
      <c r="AY103" s="56" cm="1">
        <f t="array" ref="AY103:AY107">_xlfn.ANCHORARRAY(AU23)</f>
        <v>0</v>
      </c>
      <c r="AZ103" s="52">
        <v>3.23</v>
      </c>
      <c r="BA103" s="56">
        <f>AY103*AZ103</f>
        <v>0</v>
      </c>
      <c r="BB103" s="52">
        <v>7.26</v>
      </c>
      <c r="BC103" s="56">
        <f>AY103*BB103</f>
        <v>0</v>
      </c>
      <c r="BD103" s="52">
        <v>0</v>
      </c>
      <c r="BE103" s="56">
        <f>AY103*BD103</f>
        <v>0</v>
      </c>
      <c r="BF103" s="56" cm="1">
        <f t="array" ref="BF103:BF107">_xlfn.ANCHORARRAY(AM103)</f>
        <v>0</v>
      </c>
      <c r="BJ103" s="29" t="s">
        <v>398</v>
      </c>
      <c r="BK103" s="32">
        <f ca="1">IFERROR(DEGREES(BK102),"")</f>
        <v>7.5238008231757716</v>
      </c>
      <c r="BS103" s="52" t="s">
        <v>85</v>
      </c>
      <c r="BT103" s="56" cm="1">
        <f t="array" ref="BT103:BT107">BN43:BN47</f>
        <v>0</v>
      </c>
      <c r="BU103" s="52">
        <v>3.23</v>
      </c>
      <c r="BV103" s="56">
        <f>BT103*BU103</f>
        <v>0</v>
      </c>
      <c r="BW103" s="52">
        <v>7.26</v>
      </c>
      <c r="BX103" s="56">
        <f>BT103*BW103</f>
        <v>0</v>
      </c>
      <c r="BY103" s="52">
        <v>0</v>
      </c>
      <c r="BZ103" s="56">
        <f>BT103*BY103</f>
        <v>0</v>
      </c>
      <c r="CA103" s="56">
        <f>IF(AND(BO43&lt;TTHH!D116,BO43&lt;&gt;0),TTHH!H116,0)</f>
        <v>0</v>
      </c>
      <c r="CE103" s="52" t="s">
        <v>85</v>
      </c>
      <c r="CF103" s="56" cm="1">
        <f t="array" ref="CF103:CF107">BN43:BN47</f>
        <v>0</v>
      </c>
      <c r="CG103" s="52">
        <v>3.23</v>
      </c>
      <c r="CH103" s="56">
        <f>CF103*CG103</f>
        <v>0</v>
      </c>
      <c r="CI103" s="52">
        <v>7.26</v>
      </c>
      <c r="CJ103" s="56">
        <f>CF103*CI103</f>
        <v>0</v>
      </c>
      <c r="CK103" s="52">
        <v>0</v>
      </c>
      <c r="CL103" s="56">
        <f>CF103*CK103</f>
        <v>0</v>
      </c>
      <c r="CM103" s="56">
        <f>IF(AND(BO43&lt;TTHH!D116,BO43&lt;&gt;0),TTHH!H116,0)</f>
        <v>0</v>
      </c>
      <c r="CP103" s="29" t="s">
        <v>390</v>
      </c>
      <c r="CQ103" s="40">
        <f ca="1">IFERROR(FORECAST(CQ108, OFFSET(TTHH!CR10, MATCH(CQ108,Tabla4[[#All],[Columna1]],1)-1, 0, 2), OFFSET(TTHH!CL10, MATCH(CQ108,Tabla4[[#All],[Columna1]],1)-1, 0, 2)),"")</f>
        <v>8.8502417199647887</v>
      </c>
      <c r="CS103" s="29" t="s">
        <v>394</v>
      </c>
      <c r="CT103" s="32">
        <f ca="1">IFERROR(0.8*CT102,"")</f>
        <v>0.43423505487611114</v>
      </c>
    </row>
    <row r="104" spans="5:98" x14ac:dyDescent="0.3">
      <c r="L104" s="52" t="s">
        <v>86</v>
      </c>
      <c r="M104" s="56">
        <v>0</v>
      </c>
      <c r="N104" s="52">
        <v>11.61</v>
      </c>
      <c r="O104" s="56">
        <f>M104*N104</f>
        <v>0</v>
      </c>
      <c r="P104" s="52">
        <v>8.9600000000000009</v>
      </c>
      <c r="Q104" s="56">
        <f>M104*P104</f>
        <v>0</v>
      </c>
      <c r="R104" s="52">
        <v>8.82</v>
      </c>
      <c r="S104" s="56">
        <f>M104*R104</f>
        <v>0</v>
      </c>
      <c r="T104" s="56">
        <v>0</v>
      </c>
      <c r="AE104" s="52" t="s">
        <v>86</v>
      </c>
      <c r="AF104" s="56">
        <v>0</v>
      </c>
      <c r="AG104" s="52">
        <v>11.61</v>
      </c>
      <c r="AH104" s="56">
        <f>AF104*AG104</f>
        <v>0</v>
      </c>
      <c r="AI104" s="52">
        <v>8.9600000000000009</v>
      </c>
      <c r="AJ104" s="56">
        <f>AF104*AI104</f>
        <v>0</v>
      </c>
      <c r="AK104" s="52">
        <v>8.82</v>
      </c>
      <c r="AL104" s="56">
        <f>AF104*AK104</f>
        <v>0</v>
      </c>
      <c r="AM104" s="56">
        <v>0</v>
      </c>
      <c r="AX104" s="52" t="s">
        <v>86</v>
      </c>
      <c r="AY104" s="56">
        <v>0</v>
      </c>
      <c r="AZ104" s="52">
        <v>11.61</v>
      </c>
      <c r="BA104" s="56">
        <f>AY104*AZ104</f>
        <v>0</v>
      </c>
      <c r="BB104" s="52">
        <v>8.9600000000000009</v>
      </c>
      <c r="BC104" s="56">
        <f>AY104*BB104</f>
        <v>0</v>
      </c>
      <c r="BD104" s="52">
        <v>8.82</v>
      </c>
      <c r="BE104" s="56">
        <f>AY104*BD104</f>
        <v>0</v>
      </c>
      <c r="BF104" s="56">
        <v>0</v>
      </c>
      <c r="BJ104" s="29" t="s">
        <v>597</v>
      </c>
      <c r="BK104" s="32">
        <f ca="1">IFERROR(FORECAST(BT112, OFFSET(TTHH!$J$22,MATCH(BT112,TTHH!$K$22:$K$129,1)-1,0,2), OFFSET(TTHH!$K$22,MATCH(BT112,TTHH!$K$22:$K$129,1)-1,0,2)),0)</f>
        <v>11.766973637323943</v>
      </c>
      <c r="BS104" s="52" t="s">
        <v>86</v>
      </c>
      <c r="BT104" s="56">
        <v>0</v>
      </c>
      <c r="BU104" s="52">
        <v>11.61</v>
      </c>
      <c r="BV104" s="56">
        <f>BT104*BU104</f>
        <v>0</v>
      </c>
      <c r="BW104" s="52">
        <v>8.9600000000000009</v>
      </c>
      <c r="BX104" s="56">
        <f>BT104*BW104</f>
        <v>0</v>
      </c>
      <c r="BY104" s="52">
        <v>8.82</v>
      </c>
      <c r="BZ104" s="56">
        <f>BT104*BY104</f>
        <v>0</v>
      </c>
      <c r="CA104" s="56">
        <f>IF(AND(BO44&lt;TTHH!D117,BO44&lt;&gt;0),TTHH!H117,0)</f>
        <v>0</v>
      </c>
      <c r="CE104" s="52" t="s">
        <v>86</v>
      </c>
      <c r="CF104" s="56">
        <v>0</v>
      </c>
      <c r="CG104" s="52">
        <v>11.61</v>
      </c>
      <c r="CH104" s="56">
        <f>CF104*CG104</f>
        <v>0</v>
      </c>
      <c r="CI104" s="52">
        <v>8.9600000000000009</v>
      </c>
      <c r="CJ104" s="56">
        <f>CF104*CI104</f>
        <v>0</v>
      </c>
      <c r="CK104" s="52">
        <v>8.82</v>
      </c>
      <c r="CL104" s="56">
        <f>CF104*CK104</f>
        <v>0</v>
      </c>
      <c r="CM104" s="56">
        <f>IF(AND(BO44&lt;TTHH!D117,BO44&lt;&gt;0),TTHH!H117,0)</f>
        <v>0</v>
      </c>
      <c r="CP104" s="29" t="s">
        <v>391</v>
      </c>
      <c r="CQ104" s="40">
        <f ca="1">IFERROR(FORECAST(CQ108, OFFSET(TTHH!P22, MATCH(CQ108,Tabla22[[#All],[Columna1]],1)-1, 0, 2), OFFSET(TTHH!J22, MATCH(CQ108,Tabla22[[#All],[Columna1]],1)-1, 0, 2)),"")</f>
        <v>13.703303780633801</v>
      </c>
      <c r="CS104" s="29" t="s">
        <v>395</v>
      </c>
      <c r="CT104" s="32">
        <f ca="1">IFERROR(CQ103-CF12*SIN(RADIANS(40))-ABS(CK112)*COS(RADIANS(40)),"")</f>
        <v>1.6657544001509481</v>
      </c>
    </row>
    <row r="105" spans="5:98" x14ac:dyDescent="0.3">
      <c r="L105" s="52" t="s">
        <v>87</v>
      </c>
      <c r="M105" s="56">
        <v>0</v>
      </c>
      <c r="N105" s="52">
        <v>1.27</v>
      </c>
      <c r="O105" s="56">
        <f>M105*N105</f>
        <v>0</v>
      </c>
      <c r="P105" s="52">
        <v>23.4</v>
      </c>
      <c r="Q105" s="56">
        <f>M105*P105</f>
        <v>0</v>
      </c>
      <c r="R105" s="52">
        <v>3.18</v>
      </c>
      <c r="S105" s="56">
        <f>M105*R105</f>
        <v>0</v>
      </c>
      <c r="T105" s="56">
        <v>0</v>
      </c>
      <c r="AE105" s="52" t="s">
        <v>87</v>
      </c>
      <c r="AF105" s="56">
        <v>0</v>
      </c>
      <c r="AG105" s="52">
        <v>1.27</v>
      </c>
      <c r="AH105" s="56">
        <f>AF105*AG105</f>
        <v>0</v>
      </c>
      <c r="AI105" s="52">
        <v>23.4</v>
      </c>
      <c r="AJ105" s="56">
        <f>AF105*AI105</f>
        <v>0</v>
      </c>
      <c r="AK105" s="52">
        <v>3.18</v>
      </c>
      <c r="AL105" s="56">
        <f>AF105*AK105</f>
        <v>0</v>
      </c>
      <c r="AM105" s="56">
        <v>0</v>
      </c>
      <c r="AX105" s="52" t="s">
        <v>87</v>
      </c>
      <c r="AY105" s="56">
        <v>0</v>
      </c>
      <c r="AZ105" s="52">
        <v>1.27</v>
      </c>
      <c r="BA105" s="56">
        <f>AY105*AZ105</f>
        <v>0</v>
      </c>
      <c r="BB105" s="52">
        <v>23.4</v>
      </c>
      <c r="BC105" s="56">
        <f>AY105*BB105</f>
        <v>0</v>
      </c>
      <c r="BD105" s="52">
        <v>3.18</v>
      </c>
      <c r="BE105" s="56">
        <f>AY105*BD105</f>
        <v>0</v>
      </c>
      <c r="BF105" s="56">
        <v>0</v>
      </c>
      <c r="BS105" s="52" t="s">
        <v>87</v>
      </c>
      <c r="BT105" s="56">
        <v>0</v>
      </c>
      <c r="BU105" s="52">
        <v>1.27</v>
      </c>
      <c r="BV105" s="56">
        <f>BT105*BU105</f>
        <v>0</v>
      </c>
      <c r="BW105" s="52">
        <v>23.4</v>
      </c>
      <c r="BX105" s="56">
        <f>BT105*BW105</f>
        <v>0</v>
      </c>
      <c r="BY105" s="52">
        <v>3.18</v>
      </c>
      <c r="BZ105" s="56">
        <f>BT105*BY105</f>
        <v>0</v>
      </c>
      <c r="CA105" s="56">
        <f>IF(AND(BO45&lt;TTHH!D118,BO45&lt;&gt;0),TTHH!H118,0)</f>
        <v>0</v>
      </c>
      <c r="CE105" s="52" t="s">
        <v>87</v>
      </c>
      <c r="CF105" s="56">
        <v>0</v>
      </c>
      <c r="CG105" s="52">
        <v>1.27</v>
      </c>
      <c r="CH105" s="56">
        <f>CF105*CG105</f>
        <v>0</v>
      </c>
      <c r="CI105" s="52">
        <v>23.4</v>
      </c>
      <c r="CJ105" s="56">
        <f>CF105*CI105</f>
        <v>0</v>
      </c>
      <c r="CK105" s="52">
        <v>3.18</v>
      </c>
      <c r="CL105" s="56">
        <f>CF105*CK105</f>
        <v>0</v>
      </c>
      <c r="CM105" s="56">
        <f>IF(AND(BO45&lt;TTHH!D118,BO45&lt;&gt;0),TTHH!H118,0)</f>
        <v>0</v>
      </c>
      <c r="CP105" s="29" t="s">
        <v>392</v>
      </c>
      <c r="CQ105" s="40">
        <f ca="1">IFERROR(CQ104-CF11,"")</f>
        <v>4.1264736384615173</v>
      </c>
      <c r="CS105" s="29" t="s">
        <v>396</v>
      </c>
      <c r="CT105" s="32">
        <f ca="1">IFERROR(RADIANS(((CT104-CT103)*(40-CQ107))/2),"")</f>
        <v>0.34911110744934643</v>
      </c>
    </row>
    <row r="106" spans="5:98" x14ac:dyDescent="0.3">
      <c r="E106" s="29" t="s">
        <v>452</v>
      </c>
      <c r="F106" s="44">
        <f ca="1">((F119-P112)*M112)/F121</f>
        <v>-121.55703552954297</v>
      </c>
      <c r="G106" s="7" t="str">
        <f ca="1">IF(F106&lt;0,"Aproante",IF(F106&gt;0,"Apopante",IF(F106=0,"Aguas Iguales","")))</f>
        <v>Aproante</v>
      </c>
      <c r="H106" s="32">
        <f ca="1">ABS(F106/100)</f>
        <v>1.2155703552954298</v>
      </c>
      <c r="L106" s="52" t="s">
        <v>88</v>
      </c>
      <c r="M106" s="56">
        <v>0</v>
      </c>
      <c r="N106" s="52">
        <v>1.34</v>
      </c>
      <c r="O106" s="56">
        <f>M106*N106</f>
        <v>0</v>
      </c>
      <c r="P106" s="52">
        <v>11.95</v>
      </c>
      <c r="Q106" s="56">
        <f>M106*P106</f>
        <v>0</v>
      </c>
      <c r="R106" s="52">
        <v>-0.18</v>
      </c>
      <c r="S106" s="56">
        <f>M106*R106</f>
        <v>0</v>
      </c>
      <c r="T106" s="56">
        <v>0</v>
      </c>
      <c r="X106" s="29" t="s">
        <v>452</v>
      </c>
      <c r="Y106" s="44">
        <f ca="1">((Y119-AI112)*AF112)/Y121</f>
        <v>-154.13181124629318</v>
      </c>
      <c r="Z106" s="7" t="str">
        <f ca="1">IF(Y106&lt;0,"Aproante",IF(Y106&gt;0,"Apopante",IF(Y106=0,"Aguas Iguales","")))</f>
        <v>Aproante</v>
      </c>
      <c r="AA106" s="32">
        <f ca="1">ABS(Y106/100)</f>
        <v>1.5413181124629318</v>
      </c>
      <c r="AE106" s="52" t="s">
        <v>88</v>
      </c>
      <c r="AF106" s="56">
        <v>0</v>
      </c>
      <c r="AG106" s="52">
        <v>1.34</v>
      </c>
      <c r="AH106" s="56">
        <f>AF106*AG106</f>
        <v>0</v>
      </c>
      <c r="AI106" s="52">
        <v>11.95</v>
      </c>
      <c r="AJ106" s="56">
        <f>AF106*AI106</f>
        <v>0</v>
      </c>
      <c r="AK106" s="52">
        <v>-0.18</v>
      </c>
      <c r="AL106" s="56">
        <f>AF106*AK106</f>
        <v>0</v>
      </c>
      <c r="AM106" s="56">
        <v>0</v>
      </c>
      <c r="AQ106" s="29" t="s">
        <v>452</v>
      </c>
      <c r="AR106" s="44">
        <f ca="1">((AR119-BB112)*AY112)/AR121</f>
        <v>-23.411034638772389</v>
      </c>
      <c r="AS106" s="7" t="str">
        <f ca="1">IF(AR106&lt;0,"Aproante",IF(AR106&gt;0,"Apopante",IF(AR106=0,"Aguas Iguales","")))</f>
        <v>Aproante</v>
      </c>
      <c r="AT106" s="32">
        <f ca="1">ABS(AR106/100)</f>
        <v>0.23411034638772388</v>
      </c>
      <c r="AX106" s="52" t="s">
        <v>88</v>
      </c>
      <c r="AY106" s="56">
        <v>0</v>
      </c>
      <c r="AZ106" s="52">
        <v>1.34</v>
      </c>
      <c r="BA106" s="56">
        <f>AY106*AZ106</f>
        <v>0</v>
      </c>
      <c r="BB106" s="52">
        <v>11.95</v>
      </c>
      <c r="BC106" s="56">
        <f>AY106*BB106</f>
        <v>0</v>
      </c>
      <c r="BD106" s="52">
        <v>-0.18</v>
      </c>
      <c r="BE106" s="56">
        <f>AY106*BD106</f>
        <v>0</v>
      </c>
      <c r="BF106" s="56">
        <v>0</v>
      </c>
      <c r="BS106" s="52" t="s">
        <v>88</v>
      </c>
      <c r="BT106" s="56">
        <v>0</v>
      </c>
      <c r="BU106" s="52">
        <v>1.34</v>
      </c>
      <c r="BV106" s="56">
        <f>BT106*BU106</f>
        <v>0</v>
      </c>
      <c r="BW106" s="52">
        <v>11.95</v>
      </c>
      <c r="BX106" s="56">
        <f>BT106*BW106</f>
        <v>0</v>
      </c>
      <c r="BY106" s="52">
        <v>-0.18</v>
      </c>
      <c r="BZ106" s="56">
        <f>BT106*BY106</f>
        <v>0</v>
      </c>
      <c r="CA106" s="56">
        <f>IF(AND(BO46&lt;TTHH!D119,BO46&lt;&gt;0),TTHH!H119,0)</f>
        <v>0</v>
      </c>
      <c r="CE106" s="52" t="s">
        <v>88</v>
      </c>
      <c r="CF106" s="56">
        <v>0</v>
      </c>
      <c r="CG106" s="52">
        <v>1.34</v>
      </c>
      <c r="CH106" s="56">
        <f>CF106*CG106</f>
        <v>0</v>
      </c>
      <c r="CI106" s="52">
        <v>11.95</v>
      </c>
      <c r="CJ106" s="56">
        <f>CF106*CI106</f>
        <v>0</v>
      </c>
      <c r="CK106" s="52">
        <v>-0.18</v>
      </c>
      <c r="CL106" s="56">
        <f>CF106*CK106</f>
        <v>0</v>
      </c>
      <c r="CM106" s="56">
        <f>IF(AND(BO46&lt;TTHH!D119,BO46&lt;&gt;0),TTHH!H119,0)</f>
        <v>0</v>
      </c>
      <c r="CP106" s="29" t="s">
        <v>397</v>
      </c>
      <c r="CQ106" s="32">
        <f ca="1">IFERROR(ATAN(CH125/(CF112*CF16)),"")</f>
        <v>0.13117169519353955</v>
      </c>
    </row>
    <row r="107" spans="5:98" x14ac:dyDescent="0.3">
      <c r="E107" s="29" t="s">
        <v>106</v>
      </c>
      <c r="F107" s="42">
        <f ca="1">F77</f>
        <v>11.766962193661973</v>
      </c>
      <c r="G107" s="7" t="str">
        <f ca="1">IF(F107&lt;11,"&lt;11",IF(F107&gt;11,"&gt;11",""))</f>
        <v>&gt;11</v>
      </c>
      <c r="H107" s="29" t="s">
        <v>459</v>
      </c>
      <c r="I107" s="32">
        <f ca="1">IF(G107="&lt;11",TTHH!$S$13,TTHH!$T$13)</f>
        <v>0.85</v>
      </c>
      <c r="L107" s="52" t="s">
        <v>89</v>
      </c>
      <c r="M107" s="56">
        <v>0</v>
      </c>
      <c r="N107" s="52">
        <v>1.28</v>
      </c>
      <c r="O107" s="56">
        <f>M107*N107</f>
        <v>0</v>
      </c>
      <c r="P107" s="52">
        <v>13.21</v>
      </c>
      <c r="Q107" s="56">
        <f>M107*P107</f>
        <v>0</v>
      </c>
      <c r="R107" s="52">
        <v>1.03</v>
      </c>
      <c r="S107" s="56">
        <f>M107*R107</f>
        <v>0</v>
      </c>
      <c r="T107" s="56">
        <v>0</v>
      </c>
      <c r="X107" s="29" t="s">
        <v>106</v>
      </c>
      <c r="Y107" s="42">
        <f ca="1">Y77</f>
        <v>12.217274563922944</v>
      </c>
      <c r="Z107" s="7" t="str">
        <f ca="1">IF(Y107&lt;11,"&lt;11",IF(Y107&gt;11,"&gt;11",""))</f>
        <v>&gt;11</v>
      </c>
      <c r="AA107" s="29" t="s">
        <v>459</v>
      </c>
      <c r="AB107" s="32">
        <f ca="1">IF(Z107="&lt;11",TTHH!$S$13,TTHH!$T$13)</f>
        <v>0.85</v>
      </c>
      <c r="AE107" s="52" t="s">
        <v>89</v>
      </c>
      <c r="AF107" s="56">
        <v>0</v>
      </c>
      <c r="AG107" s="52">
        <v>1.28</v>
      </c>
      <c r="AH107" s="56">
        <f>AF107*AG107</f>
        <v>0</v>
      </c>
      <c r="AI107" s="52">
        <v>13.21</v>
      </c>
      <c r="AJ107" s="56">
        <f>AF107*AI107</f>
        <v>0</v>
      </c>
      <c r="AK107" s="52">
        <v>1.03</v>
      </c>
      <c r="AL107" s="56">
        <f>AF107*AK107</f>
        <v>0</v>
      </c>
      <c r="AM107" s="56">
        <v>0</v>
      </c>
      <c r="AQ107" s="29" t="s">
        <v>106</v>
      </c>
      <c r="AR107" s="42">
        <f ca="1">AR77</f>
        <v>12.870448651567946</v>
      </c>
      <c r="AS107" s="7" t="str">
        <f ca="1">IF(AR107&lt;11,"&lt;11",IF(AR107&gt;11,"&gt;11",""))</f>
        <v>&gt;11</v>
      </c>
      <c r="AT107" s="29" t="s">
        <v>459</v>
      </c>
      <c r="AU107" s="32">
        <f ca="1">IF(AS107="&lt;11",TTHH!$S$13,TTHH!$T$13)</f>
        <v>0.85</v>
      </c>
      <c r="AX107" s="52" t="s">
        <v>89</v>
      </c>
      <c r="AY107" s="56">
        <v>0</v>
      </c>
      <c r="AZ107" s="52">
        <v>1.28</v>
      </c>
      <c r="BA107" s="56">
        <f>AY107*AZ107</f>
        <v>0</v>
      </c>
      <c r="BB107" s="52">
        <v>13.21</v>
      </c>
      <c r="BC107" s="56">
        <f>AY107*BB107</f>
        <v>0</v>
      </c>
      <c r="BD107" s="52">
        <v>1.03</v>
      </c>
      <c r="BE107" s="56">
        <f>AY107*BD107</f>
        <v>0</v>
      </c>
      <c r="BF107" s="56">
        <v>0</v>
      </c>
      <c r="BS107" s="52" t="s">
        <v>89</v>
      </c>
      <c r="BT107" s="56">
        <v>0</v>
      </c>
      <c r="BU107" s="52">
        <v>1.28</v>
      </c>
      <c r="BV107" s="56">
        <f>BT107*BU107</f>
        <v>0</v>
      </c>
      <c r="BW107" s="52">
        <v>13.21</v>
      </c>
      <c r="BX107" s="56">
        <f>BT107*BW107</f>
        <v>0</v>
      </c>
      <c r="BY107" s="52">
        <v>1.03</v>
      </c>
      <c r="BZ107" s="56">
        <f>BT107*BY107</f>
        <v>0</v>
      </c>
      <c r="CA107" s="56">
        <f>IF(AND(BO47&lt;TTHH!D120,BO47&lt;&gt;0),TTHH!H120,0)</f>
        <v>0</v>
      </c>
      <c r="CE107" s="52" t="s">
        <v>89</v>
      </c>
      <c r="CF107" s="56">
        <v>0</v>
      </c>
      <c r="CG107" s="52">
        <v>1.28</v>
      </c>
      <c r="CH107" s="56">
        <f>CF107*CG107</f>
        <v>0</v>
      </c>
      <c r="CI107" s="52">
        <v>13.21</v>
      </c>
      <c r="CJ107" s="56">
        <f>CF107*CI107</f>
        <v>0</v>
      </c>
      <c r="CK107" s="52">
        <v>1.03</v>
      </c>
      <c r="CL107" s="56">
        <f>CF107*CK107</f>
        <v>0</v>
      </c>
      <c r="CM107" s="56">
        <f>IF(AND(BO47&lt;TTHH!D120,BO47&lt;&gt;0),TTHH!H120,0)</f>
        <v>0</v>
      </c>
      <c r="CP107" s="29" t="s">
        <v>398</v>
      </c>
      <c r="CQ107" s="32">
        <f ca="1">IFERROR(DEGREES(CQ106),"")</f>
        <v>7.5155845261662826</v>
      </c>
    </row>
    <row r="108" spans="5:98" x14ac:dyDescent="0.3">
      <c r="H108" s="29" t="s">
        <v>460</v>
      </c>
      <c r="I108" s="32">
        <f ca="1">IF(G107="&lt;11",TTHH!$S$12,TTHH!$T$12)</f>
        <v>0.2</v>
      </c>
      <c r="L108" s="38"/>
      <c r="M108" s="38"/>
      <c r="N108" s="38"/>
      <c r="O108" s="38"/>
      <c r="P108" s="38"/>
      <c r="Q108" s="38"/>
      <c r="R108" s="38"/>
      <c r="S108" s="38"/>
      <c r="T108" s="38"/>
      <c r="AA108" s="29" t="s">
        <v>460</v>
      </c>
      <c r="AB108" s="32">
        <f ca="1">IF(Z107="&lt;11",TTHH!$S$12,TTHH!$T$12)</f>
        <v>0.2</v>
      </c>
      <c r="AE108" s="38"/>
      <c r="AF108" s="38"/>
      <c r="AG108" s="51">
        <v>0</v>
      </c>
      <c r="AH108" s="51"/>
      <c r="AI108" s="51">
        <v>0</v>
      </c>
      <c r="AJ108" s="51"/>
      <c r="AK108" s="51">
        <v>0</v>
      </c>
      <c r="AL108" s="38"/>
      <c r="AM108" s="38"/>
      <c r="AT108" s="29" t="s">
        <v>460</v>
      </c>
      <c r="AU108" s="32">
        <f ca="1">IF(AS107="&lt;11",TTHH!$S$12,TTHH!$T$12)</f>
        <v>0.2</v>
      </c>
      <c r="AX108" s="38"/>
      <c r="AY108" s="38"/>
      <c r="AZ108" s="51">
        <v>0</v>
      </c>
      <c r="BA108" s="51"/>
      <c r="BB108" s="51">
        <v>0</v>
      </c>
      <c r="BC108" s="51"/>
      <c r="BD108" s="51">
        <v>0</v>
      </c>
      <c r="BE108" s="38"/>
      <c r="BF108" s="38"/>
      <c r="BS108" s="38"/>
      <c r="BT108" s="38"/>
      <c r="BU108" s="51">
        <v>0</v>
      </c>
      <c r="BV108" s="51"/>
      <c r="BW108" s="51">
        <v>0</v>
      </c>
      <c r="BX108" s="51"/>
      <c r="BY108" s="51">
        <v>0</v>
      </c>
      <c r="BZ108" s="38"/>
      <c r="CA108" s="38"/>
      <c r="CE108" s="38"/>
      <c r="CF108" s="38"/>
      <c r="CG108" s="51">
        <v>0</v>
      </c>
      <c r="CH108" s="51"/>
      <c r="CI108" s="51">
        <v>0</v>
      </c>
      <c r="CJ108" s="51"/>
      <c r="CK108" s="51">
        <v>0</v>
      </c>
      <c r="CL108" s="38"/>
      <c r="CM108" s="38"/>
      <c r="CP108" s="29" t="s">
        <v>597</v>
      </c>
      <c r="CQ108" s="32">
        <f ca="1">IFERROR(FORECAST(CF112, OFFSET(TTHH!$J$22,MATCH(CF112,TTHH!$K$22:$K$129,1)-1,0,2), OFFSET(TTHH!$K$22,MATCH(CF112,TTHH!$K$22:$K$129,1)-1,0,2)),0)</f>
        <v>11.766962193661969</v>
      </c>
    </row>
    <row r="109" spans="5:98" x14ac:dyDescent="0.3">
      <c r="E109" s="29" t="s">
        <v>447</v>
      </c>
      <c r="F109" s="7" t="str">
        <f>'Condición Día D'!AE70</f>
        <v>Ninguno</v>
      </c>
      <c r="G109" s="44">
        <f>'Condición Día D'!AF70</f>
        <v>0</v>
      </c>
      <c r="H109" s="32">
        <f>G109/100</f>
        <v>0</v>
      </c>
      <c r="L109" s="52" t="s">
        <v>385</v>
      </c>
      <c r="M109" s="52" cm="1">
        <f t="array" ref="M109:M110">'Condición Llegada'!U82:U83</f>
        <v>11044.1</v>
      </c>
      <c r="N109" s="52" cm="1">
        <f t="array" ref="N109:N110">'Condición Llegada'!V82:V83</f>
        <v>11.85</v>
      </c>
      <c r="O109" s="56">
        <f>M109*N109</f>
        <v>130872.58500000001</v>
      </c>
      <c r="P109" s="52" cm="1">
        <f t="array" ref="P109:P110">'Condición Llegada'!X82:X83</f>
        <v>84.08</v>
      </c>
      <c r="Q109" s="56">
        <f>P109*M109</f>
        <v>928587.92799999996</v>
      </c>
      <c r="R109" s="52" cm="1">
        <f t="array" ref="R109:R110">'Condición Llegada'!Z82:Z83</f>
        <v>0</v>
      </c>
      <c r="S109" s="56">
        <f>M109*R109</f>
        <v>0</v>
      </c>
      <c r="T109" s="18"/>
      <c r="X109" s="29" t="s">
        <v>447</v>
      </c>
      <c r="Y109" s="7">
        <f>'Condición Día D'!AX70</f>
        <v>0</v>
      </c>
      <c r="Z109" s="44">
        <f>'Condición Día D'!AY70</f>
        <v>0</v>
      </c>
      <c r="AA109" s="32">
        <f>Z109/100</f>
        <v>0</v>
      </c>
      <c r="AE109" s="52" t="s">
        <v>385</v>
      </c>
      <c r="AF109" s="52" cm="1">
        <f t="array" ref="AF109:AF110">_xlfn.ANCHORARRAY(M109)</f>
        <v>11044.1</v>
      </c>
      <c r="AG109" s="52">
        <v>11.85</v>
      </c>
      <c r="AH109" s="56">
        <f>AF109*AG109</f>
        <v>130872.58500000001</v>
      </c>
      <c r="AI109" s="52">
        <v>84.08</v>
      </c>
      <c r="AJ109" s="56">
        <f>AI109*AF109</f>
        <v>928587.92799999996</v>
      </c>
      <c r="AK109" s="52">
        <v>0</v>
      </c>
      <c r="AL109" s="56">
        <f>AF109*AK109</f>
        <v>0</v>
      </c>
      <c r="AM109" s="18"/>
      <c r="AQ109" s="29" t="s">
        <v>447</v>
      </c>
      <c r="AR109" s="7">
        <f>'Condición Día D'!BQ70</f>
        <v>0</v>
      </c>
      <c r="AS109" s="44">
        <f>'Condición Día D'!BR70</f>
        <v>0</v>
      </c>
      <c r="AT109" s="32">
        <f>AS109/100</f>
        <v>0</v>
      </c>
      <c r="AX109" s="52" t="s">
        <v>385</v>
      </c>
      <c r="AY109" s="52" cm="1">
        <f t="array" ref="AY109:AY110">_xlfn.ANCHORARRAY(AF109)</f>
        <v>11044.1</v>
      </c>
      <c r="AZ109" s="52">
        <v>11.85</v>
      </c>
      <c r="BA109" s="56">
        <f>AY109*AZ109</f>
        <v>130872.58500000001</v>
      </c>
      <c r="BB109" s="52">
        <v>84.08</v>
      </c>
      <c r="BC109" s="56">
        <f>BB109*AY109</f>
        <v>928587.92799999996</v>
      </c>
      <c r="BD109" s="52">
        <v>0</v>
      </c>
      <c r="BE109" s="56">
        <f>AY109*BD109</f>
        <v>0</v>
      </c>
      <c r="BF109" s="18"/>
      <c r="BS109" s="52" t="s">
        <v>385</v>
      </c>
      <c r="BT109" s="52" cm="1">
        <f t="array" ref="BT109:BT110">_xlfn.ANCHORARRAY(AY109)</f>
        <v>11044.1</v>
      </c>
      <c r="BU109" s="52">
        <v>11.85</v>
      </c>
      <c r="BV109" s="56">
        <f>BT109*BU109</f>
        <v>130872.58500000001</v>
      </c>
      <c r="BW109" s="52">
        <v>84.08</v>
      </c>
      <c r="BX109" s="56">
        <f>BW109*BT109</f>
        <v>928587.92799999996</v>
      </c>
      <c r="BY109" s="52">
        <v>0</v>
      </c>
      <c r="BZ109" s="56">
        <f>BT109*BY109</f>
        <v>0</v>
      </c>
      <c r="CA109" s="18"/>
      <c r="CE109" s="52" t="s">
        <v>385</v>
      </c>
      <c r="CF109" s="52" cm="1">
        <f t="array" ref="CF109:CF110">_xlfn.ANCHORARRAY(BT109)</f>
        <v>11044.1</v>
      </c>
      <c r="CG109" s="52">
        <v>11.85</v>
      </c>
      <c r="CH109" s="56">
        <f>CF109*CG109</f>
        <v>130872.58500000001</v>
      </c>
      <c r="CI109" s="52">
        <v>84.08</v>
      </c>
      <c r="CJ109" s="56">
        <f>CI109*CF109</f>
        <v>928587.92799999996</v>
      </c>
      <c r="CK109" s="52">
        <v>0</v>
      </c>
      <c r="CL109" s="56">
        <f>CF109*CK109</f>
        <v>0</v>
      </c>
      <c r="CM109" s="18"/>
    </row>
    <row r="110" spans="5:98" x14ac:dyDescent="0.3">
      <c r="L110" s="52" t="s">
        <v>461</v>
      </c>
      <c r="M110" s="52">
        <v>21</v>
      </c>
      <c r="N110" s="52">
        <v>16.428571428571427</v>
      </c>
      <c r="O110" s="56">
        <f>M110*N110</f>
        <v>344.99999999999994</v>
      </c>
      <c r="P110" s="52">
        <v>65.714285714285708</v>
      </c>
      <c r="Q110" s="56">
        <f>M110*P110</f>
        <v>1379.9999999999998</v>
      </c>
      <c r="R110" s="52">
        <v>7.1428571428571432</v>
      </c>
      <c r="S110" s="56">
        <f>M110*R110</f>
        <v>150</v>
      </c>
      <c r="T110" s="18"/>
      <c r="AE110" s="52" t="s">
        <v>461</v>
      </c>
      <c r="AF110" s="52">
        <v>21</v>
      </c>
      <c r="AG110" s="52">
        <v>16.428571428571427</v>
      </c>
      <c r="AH110" s="56">
        <f>AF110*AG110</f>
        <v>344.99999999999994</v>
      </c>
      <c r="AI110" s="52">
        <v>65.714285714285708</v>
      </c>
      <c r="AJ110" s="56">
        <f>AF110*AI110</f>
        <v>1379.9999999999998</v>
      </c>
      <c r="AK110" s="52">
        <v>7.1428571428571432</v>
      </c>
      <c r="AL110" s="56">
        <f>AF110*AK110</f>
        <v>150</v>
      </c>
      <c r="AM110" s="18"/>
      <c r="AX110" s="52" t="s">
        <v>461</v>
      </c>
      <c r="AY110" s="52">
        <v>21</v>
      </c>
      <c r="AZ110" s="52">
        <v>16.428571428571427</v>
      </c>
      <c r="BA110" s="56">
        <f>AY110*AZ110</f>
        <v>344.99999999999994</v>
      </c>
      <c r="BB110" s="52">
        <v>65.714285714285708</v>
      </c>
      <c r="BC110" s="56">
        <f>AY110*BB110</f>
        <v>1379.9999999999998</v>
      </c>
      <c r="BD110" s="52">
        <v>7.1428571428571432</v>
      </c>
      <c r="BE110" s="56">
        <f>AY110*BD110</f>
        <v>150</v>
      </c>
      <c r="BF110" s="18"/>
      <c r="BS110" s="52" t="s">
        <v>461</v>
      </c>
      <c r="BT110" s="52">
        <v>21</v>
      </c>
      <c r="BU110" s="52">
        <v>16.428571428571427</v>
      </c>
      <c r="BV110" s="56">
        <f>BT110*BU110</f>
        <v>344.99999999999994</v>
      </c>
      <c r="BW110" s="52">
        <v>65.714285714285708</v>
      </c>
      <c r="BX110" s="56">
        <f>BT110*BW110</f>
        <v>1379.9999999999998</v>
      </c>
      <c r="BY110" s="52">
        <v>7.1428571428571432</v>
      </c>
      <c r="BZ110" s="56">
        <f>BT110*BY110</f>
        <v>150</v>
      </c>
      <c r="CA110" s="18"/>
      <c r="CE110" s="52" t="s">
        <v>461</v>
      </c>
      <c r="CF110" s="52">
        <v>21</v>
      </c>
      <c r="CG110" s="52">
        <v>16.428571428571427</v>
      </c>
      <c r="CH110" s="56">
        <f>CF110*CG110</f>
        <v>344.99999999999994</v>
      </c>
      <c r="CI110" s="52">
        <v>65.714285714285708</v>
      </c>
      <c r="CJ110" s="56">
        <f>CF110*CI110</f>
        <v>1379.9999999999998</v>
      </c>
      <c r="CK110" s="52">
        <v>7.1428571428571432</v>
      </c>
      <c r="CL110" s="56">
        <f>CF110*CK110</f>
        <v>150</v>
      </c>
      <c r="CM110" s="18"/>
    </row>
    <row r="111" spans="5:98" x14ac:dyDescent="0.3">
      <c r="E111" s="29" t="s">
        <v>448</v>
      </c>
      <c r="F111" s="42">
        <f ca="1">F77+F114</f>
        <v>12.388513438418595</v>
      </c>
      <c r="G111" s="29" t="s">
        <v>449</v>
      </c>
      <c r="H111" s="42">
        <f ca="1">F77+H114</f>
        <v>11.172943083123165</v>
      </c>
      <c r="L111" s="38"/>
      <c r="M111" s="52" t="s">
        <v>3</v>
      </c>
      <c r="N111" s="52" t="s">
        <v>17</v>
      </c>
      <c r="O111" s="52" t="s">
        <v>382</v>
      </c>
      <c r="P111" s="52" t="s">
        <v>15</v>
      </c>
      <c r="Q111" s="52" t="s">
        <v>383</v>
      </c>
      <c r="R111" s="52" t="s">
        <v>16</v>
      </c>
      <c r="S111" s="52" t="s">
        <v>384</v>
      </c>
      <c r="T111" s="52" t="s">
        <v>4</v>
      </c>
      <c r="X111" s="29" t="s">
        <v>448</v>
      </c>
      <c r="Y111" s="42">
        <f ca="1">Y77+Y114</f>
        <v>13.00853067381037</v>
      </c>
      <c r="Z111" s="29" t="s">
        <v>449</v>
      </c>
      <c r="AA111" s="42">
        <f ca="1">Y77+AA114</f>
        <v>11.467212561347438</v>
      </c>
      <c r="AE111" s="38"/>
      <c r="AF111" s="52" t="s">
        <v>3</v>
      </c>
      <c r="AG111" s="52" t="s">
        <v>17</v>
      </c>
      <c r="AH111" s="52" t="s">
        <v>382</v>
      </c>
      <c r="AI111" s="52" t="s">
        <v>15</v>
      </c>
      <c r="AJ111" s="52" t="s">
        <v>383</v>
      </c>
      <c r="AK111" s="52" t="s">
        <v>16</v>
      </c>
      <c r="AL111" s="52" t="s">
        <v>384</v>
      </c>
      <c r="AM111" s="52" t="s">
        <v>4</v>
      </c>
      <c r="AQ111" s="29" t="s">
        <v>448</v>
      </c>
      <c r="AR111" s="42">
        <f ca="1">AR77+AR114</f>
        <v>12.991248771296277</v>
      </c>
      <c r="AS111" s="29" t="s">
        <v>449</v>
      </c>
      <c r="AT111" s="42">
        <f ca="1">AR77+AT114</f>
        <v>12.757138424908554</v>
      </c>
      <c r="AX111" s="38"/>
      <c r="AY111" s="52" t="s">
        <v>3</v>
      </c>
      <c r="AZ111" s="52" t="s">
        <v>17</v>
      </c>
      <c r="BA111" s="52" t="s">
        <v>382</v>
      </c>
      <c r="BB111" s="52" t="s">
        <v>15</v>
      </c>
      <c r="BC111" s="52" t="s">
        <v>383</v>
      </c>
      <c r="BD111" s="52" t="s">
        <v>16</v>
      </c>
      <c r="BE111" s="52" t="s">
        <v>384</v>
      </c>
      <c r="BF111" s="52" t="s">
        <v>4</v>
      </c>
      <c r="BS111" s="38"/>
      <c r="BT111" s="52" t="s">
        <v>3</v>
      </c>
      <c r="BU111" s="52" t="s">
        <v>17</v>
      </c>
      <c r="BV111" s="52" t="s">
        <v>382</v>
      </c>
      <c r="BW111" s="52" t="s">
        <v>15</v>
      </c>
      <c r="BX111" s="52" t="s">
        <v>383</v>
      </c>
      <c r="BY111" s="52" t="s">
        <v>16</v>
      </c>
      <c r="BZ111" s="52" t="s">
        <v>384</v>
      </c>
      <c r="CA111" s="52" t="s">
        <v>4</v>
      </c>
      <c r="CE111" s="38"/>
      <c r="CF111" s="52" t="s">
        <v>3</v>
      </c>
      <c r="CG111" s="52" t="s">
        <v>17</v>
      </c>
      <c r="CH111" s="52" t="s">
        <v>382</v>
      </c>
      <c r="CI111" s="52" t="s">
        <v>15</v>
      </c>
      <c r="CJ111" s="52" t="s">
        <v>383</v>
      </c>
      <c r="CK111" s="52" t="s">
        <v>16</v>
      </c>
      <c r="CL111" s="52" t="s">
        <v>384</v>
      </c>
      <c r="CM111" s="52" t="s">
        <v>4</v>
      </c>
    </row>
    <row r="112" spans="5:98" x14ac:dyDescent="0.3">
      <c r="E112" s="29" t="s">
        <v>374</v>
      </c>
      <c r="F112" s="42">
        <f ca="1">F111+F115+F116+F117</f>
        <v>12.404875049321728</v>
      </c>
      <c r="G112" s="29" t="s">
        <v>375</v>
      </c>
      <c r="H112" s="42">
        <f ca="1">H111+H115+H116+H117</f>
        <v>11.196269762910664</v>
      </c>
      <c r="I112" s="29" t="s">
        <v>376</v>
      </c>
      <c r="J112" s="42">
        <f ca="1">F77+J115+J117</f>
        <v>11.788962193661973</v>
      </c>
      <c r="L112" s="54" t="s">
        <v>386</v>
      </c>
      <c r="M112" s="56">
        <f ca="1">SUM(M38:M110)</f>
        <v>60197.345260000002</v>
      </c>
      <c r="N112" s="56">
        <f ca="1">IFERROR(O112/M112,0)</f>
        <v>9.581869256417102</v>
      </c>
      <c r="O112" s="56">
        <f ca="1">SUM(O38:O110)</f>
        <v>576803.09186471975</v>
      </c>
      <c r="P112" s="56">
        <f ca="1">IFERROR(Q112/M112,0)</f>
        <v>98.672985745434417</v>
      </c>
      <c r="Q112" s="56">
        <f ca="1">SUM(Q38:Q110)</f>
        <v>5939851.7907529743</v>
      </c>
      <c r="R112" s="56">
        <f ca="1">IFERROR(S112/M112,0)</f>
        <v>-1.3896190926975112</v>
      </c>
      <c r="S112" s="56">
        <f ca="1">SUM(S38:S110)</f>
        <v>-83651.380303000027</v>
      </c>
      <c r="T112" s="56">
        <f>SUM(T44:T110)</f>
        <v>758</v>
      </c>
      <c r="X112" s="29" t="s">
        <v>374</v>
      </c>
      <c r="Y112" s="42">
        <f ca="1">Y111+Y115+Y116+Y117</f>
        <v>13.023381312852152</v>
      </c>
      <c r="Z112" s="29" t="s">
        <v>375</v>
      </c>
      <c r="AA112" s="42">
        <f ca="1">AA111+AA115+AA116+AA117</f>
        <v>11.490894763925843</v>
      </c>
      <c r="AB112" s="29" t="s">
        <v>376</v>
      </c>
      <c r="AC112" s="42">
        <f ca="1">Y77+AC115+AC117</f>
        <v>12.239274563922944</v>
      </c>
      <c r="AE112" s="54" t="s">
        <v>386</v>
      </c>
      <c r="AF112" s="56">
        <f ca="1">SUM(AF38:AF110)</f>
        <v>62763.637760000005</v>
      </c>
      <c r="AG112" s="56">
        <f ca="1">IFERROR(AH112/AF112,0)</f>
        <v>9.2404569228034443</v>
      </c>
      <c r="AH112" s="56">
        <f ca="1">SUM(AH38:AH110)</f>
        <v>579964.69103971974</v>
      </c>
      <c r="AI112" s="56">
        <f ca="1">IFERROR(AJ112/AF112,0)</f>
        <v>98.71928999392297</v>
      </c>
      <c r="AJ112" s="56">
        <f ca="1">SUM(AJ38:AJ110)</f>
        <v>6195981.7571029747</v>
      </c>
      <c r="AK112" s="56">
        <f ca="1">IFERROR(AL112/AF112,0)</f>
        <v>-1.0438164292438874</v>
      </c>
      <c r="AL112" s="56">
        <f ca="1">SUM(AL38:AL110)</f>
        <v>-65513.716253000021</v>
      </c>
      <c r="AM112" s="56">
        <f>SUM(AM44:AM110)</f>
        <v>758</v>
      </c>
      <c r="AQ112" s="29" t="s">
        <v>374</v>
      </c>
      <c r="AR112" s="42">
        <f ca="1">AR111+AR115+AR116+AR117</f>
        <v>13.012162857001982</v>
      </c>
      <c r="AS112" s="29" t="s">
        <v>375</v>
      </c>
      <c r="AT112" s="42">
        <f ca="1">AT111+AT115+AT116+AT117</f>
        <v>12.779393934154271</v>
      </c>
      <c r="AU112" s="29" t="s">
        <v>376</v>
      </c>
      <c r="AV112" s="42">
        <f ca="1">AR77+AV115+AV117</f>
        <v>12.892448651567946</v>
      </c>
      <c r="AX112" s="54" t="s">
        <v>386</v>
      </c>
      <c r="AY112" s="56">
        <f ca="1">SUM(AY38:AY110)</f>
        <v>66504.375260000001</v>
      </c>
      <c r="AZ112" s="56">
        <f ca="1">IFERROR(BA112/AY112,0)</f>
        <v>9.3095314356272283</v>
      </c>
      <c r="BA112" s="56">
        <f ca="1">SUM(BA38:BA110)</f>
        <v>619124.5720897197</v>
      </c>
      <c r="BB112" s="56">
        <f ca="1">IFERROR(BC112/AY112,0)</f>
        <v>96.623323952084505</v>
      </c>
      <c r="BC112" s="56">
        <f ca="1">SUM(BC38:BC110)</f>
        <v>6425873.7949779741</v>
      </c>
      <c r="BD112" s="56">
        <f ca="1">IFERROR(BE112/AY112,0)</f>
        <v>-0.21529474146660835</v>
      </c>
      <c r="BE112" s="56">
        <f ca="1">SUM(BE38:BE110)</f>
        <v>-14318.042278000004</v>
      </c>
      <c r="BF112" s="56">
        <f>SUM(BF44:BF110)</f>
        <v>758</v>
      </c>
      <c r="BS112" s="54" t="s">
        <v>386</v>
      </c>
      <c r="BT112" s="56">
        <f ca="1">SUM(BT38:BT110)</f>
        <v>60197.410259999997</v>
      </c>
      <c r="BU112" s="56">
        <f ca="1">IFERROR(BV112/BT112,0)</f>
        <v>9.5793517278249727</v>
      </c>
      <c r="BV112" s="56">
        <f ca="1">SUM(BV38:BV110)</f>
        <v>576652.16598471976</v>
      </c>
      <c r="BW112" s="56">
        <f ca="1">IFERROR(BX112/BT112,0)</f>
        <v>98.675614483701466</v>
      </c>
      <c r="BX112" s="56">
        <f ca="1">SUM(BX38:BX110)</f>
        <v>5940016.4477329748</v>
      </c>
      <c r="BY112" s="56">
        <f ca="1">IFERROR(BZ112/BT112,0)</f>
        <v>-1.3610785530327565</v>
      </c>
      <c r="BZ112" s="56">
        <f ca="1">SUM(BZ38:BZ110)</f>
        <v>-81933.404053000006</v>
      </c>
      <c r="CA112" s="56">
        <f>SUM(CA44:CA110)</f>
        <v>856</v>
      </c>
      <c r="CE112" s="54" t="s">
        <v>386</v>
      </c>
      <c r="CF112" s="56">
        <f ca="1">SUM(CF38:CF110)</f>
        <v>60197.345259999987</v>
      </c>
      <c r="CG112" s="56">
        <f ca="1">IFERROR(CH112/CF112,0)</f>
        <v>9.5768301421722839</v>
      </c>
      <c r="CH112" s="56">
        <f ca="1">SUM(CH38:CH110)</f>
        <v>576499.75056471978</v>
      </c>
      <c r="CI112" s="56">
        <f ca="1">IFERROR(CJ112/CF112,0)</f>
        <v>98.678426475396606</v>
      </c>
      <c r="CJ112" s="56">
        <f ca="1">SUM(CJ38:CJ110)</f>
        <v>5940179.3082529735</v>
      </c>
      <c r="CK112" s="56">
        <f ca="1">IFERROR(CL112/CF112,0)</f>
        <v>-1.3325361435216228</v>
      </c>
      <c r="CL112" s="56">
        <f ca="1">SUM(CL38:CL110)</f>
        <v>-80215.138303000014</v>
      </c>
      <c r="CM112" s="56">
        <f>SUM(CM44:CM110)</f>
        <v>734</v>
      </c>
    </row>
    <row r="114" spans="5:99" x14ac:dyDescent="0.3">
      <c r="E114" s="29" t="s">
        <v>454</v>
      </c>
      <c r="F114" s="32">
        <f ca="1">IF(G106="Apopante",(-1)*(H106-ABS(H114)),H106-ABS(H114))</f>
        <v>0.62155124475662216</v>
      </c>
      <c r="G114" s="29" t="s">
        <v>457</v>
      </c>
      <c r="H114" s="32">
        <f ca="1">IF(G106="Aproante",((-1)*H106*F120)/183.25,(H106*F120)/183.25)</f>
        <v>-0.59401911053880763</v>
      </c>
      <c r="X114" s="29" t="s">
        <v>454</v>
      </c>
      <c r="Y114" s="32">
        <f ca="1">IF(Z106="Apopante",(-1)*(AA106-ABS(AA114)),AA106-ABS(AA114))</f>
        <v>0.79125610988742601</v>
      </c>
      <c r="Z114" s="29" t="s">
        <v>457</v>
      </c>
      <c r="AA114" s="32">
        <f ca="1">IF(Z106="Aproante",((-1)*AA106*Y120)/183.25,(AA106*Y120)/183.25)</f>
        <v>-0.75006200257550582</v>
      </c>
      <c r="AQ114" s="29" t="s">
        <v>454</v>
      </c>
      <c r="AR114" s="32">
        <f ca="1">IF(AS106="Apopante",(-1)*(AT106-ABS(AT114)),AT106-ABS(AT114))</f>
        <v>0.12080011972833178</v>
      </c>
      <c r="AS114" s="29" t="s">
        <v>457</v>
      </c>
      <c r="AT114" s="32">
        <f ca="1">IF(AS106="Aproante",((-1)*AT106*AR120)/183.25,(AT106*AR120)/183.25)</f>
        <v>-0.1133102266593921</v>
      </c>
      <c r="CP114" s="29" t="s">
        <v>452</v>
      </c>
      <c r="CQ114" s="44">
        <f ca="1">((CQ127-CI112)*CF112)/CQ129</f>
        <v>-121.97653170659966</v>
      </c>
      <c r="CR114" s="7" t="str">
        <f ca="1">IF(CQ114&lt;0,"Aproante",IF(CQ114&gt;0,"Apopante",IF(CQ114=0,"Aguas Iguales","")))</f>
        <v>Aproante</v>
      </c>
      <c r="CS114" s="32">
        <f ca="1">ABS(CQ114/100)</f>
        <v>1.2197653170659966</v>
      </c>
    </row>
    <row r="115" spans="5:99" x14ac:dyDescent="0.3">
      <c r="E115" s="29" t="s">
        <v>109</v>
      </c>
      <c r="F115" s="42">
        <f>TTHH!$S$11</f>
        <v>2.1999999999999999E-2</v>
      </c>
      <c r="G115" s="29" t="s">
        <v>109</v>
      </c>
      <c r="H115" s="42">
        <f>TTHH!$S$11</f>
        <v>2.1999999999999999E-2</v>
      </c>
      <c r="I115" s="29" t="s">
        <v>109</v>
      </c>
      <c r="J115" s="42">
        <f>TTHH!$S$11</f>
        <v>2.1999999999999999E-2</v>
      </c>
      <c r="X115" s="29" t="s">
        <v>109</v>
      </c>
      <c r="Y115" s="42">
        <f>TTHH!$S$11</f>
        <v>2.1999999999999999E-2</v>
      </c>
      <c r="Z115" s="29" t="s">
        <v>109</v>
      </c>
      <c r="AA115" s="42">
        <f>TTHH!$S$11</f>
        <v>2.1999999999999999E-2</v>
      </c>
      <c r="AB115" s="29" t="s">
        <v>109</v>
      </c>
      <c r="AC115" s="42">
        <f>TTHH!$S$11</f>
        <v>2.1999999999999999E-2</v>
      </c>
      <c r="AQ115" s="29" t="s">
        <v>109</v>
      </c>
      <c r="AR115" s="42">
        <f>TTHH!$S$11</f>
        <v>2.1999999999999999E-2</v>
      </c>
      <c r="AS115" s="29" t="s">
        <v>109</v>
      </c>
      <c r="AT115" s="42">
        <f>TTHH!$S$11</f>
        <v>2.1999999999999999E-2</v>
      </c>
      <c r="AU115" s="29" t="s">
        <v>109</v>
      </c>
      <c r="AV115" s="42">
        <f>TTHH!$S$11</f>
        <v>2.1999999999999999E-2</v>
      </c>
      <c r="CP115" s="29" t="s">
        <v>106</v>
      </c>
      <c r="CQ115" s="42">
        <f ca="1">CQ108</f>
        <v>11.766962193661969</v>
      </c>
      <c r="CR115" s="7" t="str">
        <f ca="1">IF(CQ115&lt;11,"&lt;11",IF(CQ115&gt;11,"&gt;11",""))</f>
        <v>&gt;11</v>
      </c>
      <c r="CS115" s="29" t="s">
        <v>459</v>
      </c>
      <c r="CT115" s="32">
        <f ca="1">IF(CR115="&lt;11",TTHH!$S$13,TTHH!$T$13)</f>
        <v>0.85</v>
      </c>
    </row>
    <row r="116" spans="5:99" x14ac:dyDescent="0.3">
      <c r="E116" s="29" t="s">
        <v>455</v>
      </c>
      <c r="F116" s="40">
        <f ca="1">IF(F114&lt;0,(H106*I107)/TTHH!$S$14,(-1)*(H106*I107)/TTHH!$S$14)</f>
        <v>-5.6383890968682961E-3</v>
      </c>
      <c r="G116" s="29" t="s">
        <v>458</v>
      </c>
      <c r="H116" s="40">
        <f ca="1">IF(H114&lt;0,(H106*I108)/TTHH!$S$14,(-1)*(H106*I108)/TTHH!$S$14)</f>
        <v>1.3266797874984227E-3</v>
      </c>
      <c r="X116" s="29" t="s">
        <v>455</v>
      </c>
      <c r="Y116" s="40">
        <f ca="1">IF(Y114&lt;0,(AA106*AB107)/TTHH!$S$14,(-1)*(AA106*AB107)/TTHH!$S$14)</f>
        <v>-7.149360958218237E-3</v>
      </c>
      <c r="Z116" s="29" t="s">
        <v>458</v>
      </c>
      <c r="AA116" s="40">
        <f ca="1">IF(AA114&lt;0,(AA106*AB108)/TTHH!$S$14,(-1)*(AA106*AB108)/TTHH!$S$14)</f>
        <v>1.6822025784042913E-3</v>
      </c>
      <c r="AQ116" s="29" t="s">
        <v>455</v>
      </c>
      <c r="AR116" s="40">
        <f ca="1">IF(AR114&lt;0,(AT106*AU107)/TTHH!$S$14,(-1)*(AT106*AU107)/TTHH!$S$14)</f>
        <v>-1.0859142942950357E-3</v>
      </c>
      <c r="AS116" s="29" t="s">
        <v>458</v>
      </c>
      <c r="AT116" s="40">
        <f ca="1">IF(AT114&lt;0,(AT106*AU108)/TTHH!$S$14,(-1)*(AT106*AU108)/TTHH!$S$14)</f>
        <v>2.5550924571647902E-4</v>
      </c>
      <c r="CS116" s="29" t="s">
        <v>460</v>
      </c>
      <c r="CT116" s="32">
        <f ca="1">IF(CR115="&lt;11",TTHH!$S$12,TTHH!$T$12)</f>
        <v>0.2</v>
      </c>
    </row>
    <row r="117" spans="5:99" x14ac:dyDescent="0.3">
      <c r="E117" s="29" t="s">
        <v>456</v>
      </c>
      <c r="F117" s="32">
        <f>IF(F109="Ninguno",0,IF(F109="Arrufo",(-3/4)*H109,IF(F109="Quebranto",(3/4)*H109,0)))</f>
        <v>0</v>
      </c>
      <c r="G117" s="29" t="s">
        <v>456</v>
      </c>
      <c r="H117" s="32">
        <f>IF(F109="Ninguno",0,IF(F109="Arrufo",(-3/4)*H109,IF(F109="Quebranto",(3/4)*H109,0)))</f>
        <v>0</v>
      </c>
      <c r="I117" s="29" t="s">
        <v>456</v>
      </c>
      <c r="J117" s="32">
        <f>IF(F109="Ninguno",0,IF(F109="Arrufo",(1/4)*H109,IF(F109="Quebranto",(-1/4)*H109,0)))</f>
        <v>0</v>
      </c>
      <c r="X117" s="29" t="s">
        <v>456</v>
      </c>
      <c r="Y117" s="32">
        <f>IF(Y109="Ninguno",0,IF(Y109="Arrufo",(-3/4)*AA109,IF(Y109="Quebranto",(3/4)*AA109,0)))</f>
        <v>0</v>
      </c>
      <c r="Z117" s="29" t="s">
        <v>456</v>
      </c>
      <c r="AA117" s="32">
        <f>IF(Y109="Ninguno",0,IF(Y109="Arrufo",(-3/4)*AA109,IF(Y109="Quebranto",(3/4)*AA109,0)))</f>
        <v>0</v>
      </c>
      <c r="AB117" s="29" t="s">
        <v>456</v>
      </c>
      <c r="AC117" s="32">
        <f>IF(Y109="Ninguno",0,IF(Y109="Arrufo",(1/4)*AA109,IF(Y109="Quebranto",(-1/4)*AA109,0)))</f>
        <v>0</v>
      </c>
      <c r="AQ117" s="29" t="s">
        <v>456</v>
      </c>
      <c r="AR117" s="32">
        <f>IF(AR109="Ninguno",0,IF(AR109="Arrufo",(-3/4)*AT109,IF(AR109="Quebranto",(3/4)*AT109,0)))</f>
        <v>0</v>
      </c>
      <c r="AS117" s="29" t="s">
        <v>456</v>
      </c>
      <c r="AT117" s="32">
        <f>IF(AR109="Ninguno",0,IF(AR109="Arrufo",(-3/4)*AT109,IF(AR109="Quebranto",(3/4)*AT109,0)))</f>
        <v>0</v>
      </c>
      <c r="AU117" s="29" t="s">
        <v>456</v>
      </c>
      <c r="AV117" s="32">
        <f>IF(AR109="Ninguno",0,IF(AR109="Arrufo",(1/4)*AT109,IF(AR109="Quebranto",(-1/4)*AT109,0)))</f>
        <v>0</v>
      </c>
      <c r="CP117" s="29" t="s">
        <v>447</v>
      </c>
      <c r="CQ117" s="7">
        <f>'Condición Día D'!DP78</f>
        <v>0</v>
      </c>
      <c r="CR117" s="44">
        <f>'Condición Día D'!DQ78</f>
        <v>0</v>
      </c>
      <c r="CS117" s="32">
        <f>CR117/100</f>
        <v>0</v>
      </c>
    </row>
    <row r="118" spans="5:99" x14ac:dyDescent="0.3">
      <c r="L118" s="54" t="s">
        <v>11</v>
      </c>
      <c r="M118" s="52" t="s">
        <v>387</v>
      </c>
      <c r="N118" s="52" t="s">
        <v>354</v>
      </c>
      <c r="O118" s="52" t="s">
        <v>388</v>
      </c>
      <c r="AE118" s="54" t="s">
        <v>11</v>
      </c>
      <c r="AF118" s="52" t="s">
        <v>387</v>
      </c>
      <c r="AG118" s="52" t="s">
        <v>354</v>
      </c>
      <c r="AH118" s="52" t="s">
        <v>388</v>
      </c>
      <c r="AX118" s="54" t="s">
        <v>11</v>
      </c>
      <c r="AY118" s="52" t="s">
        <v>387</v>
      </c>
      <c r="AZ118" s="52" t="s">
        <v>354</v>
      </c>
      <c r="BA118" s="52" t="s">
        <v>388</v>
      </c>
      <c r="BS118" s="54" t="s">
        <v>11</v>
      </c>
      <c r="BT118" s="52" t="s">
        <v>387</v>
      </c>
      <c r="BU118" s="52" t="s">
        <v>354</v>
      </c>
      <c r="BV118" s="52" t="s">
        <v>388</v>
      </c>
      <c r="CE118" s="54" t="s">
        <v>11</v>
      </c>
      <c r="CF118" s="52" t="s">
        <v>387</v>
      </c>
      <c r="CG118" s="52" t="s">
        <v>354</v>
      </c>
      <c r="CH118" s="52" t="s">
        <v>388</v>
      </c>
    </row>
    <row r="119" spans="5:99" x14ac:dyDescent="0.3">
      <c r="E119" s="29" t="s">
        <v>312</v>
      </c>
      <c r="F119" s="32">
        <f ca="1">IFERROR(FORECAST(F77, OFFSET(TTHH!$M$22,MATCH(F77,TTHH!$J$22:$J$129,1)-1,0,2), OFFSET(TTHH!$J$22,MATCH(F77,TTHH!$J$22:$J$129,1)-1,0,2)),0)</f>
        <v>97.096430245070408</v>
      </c>
      <c r="L119" s="52" t="s">
        <v>6</v>
      </c>
      <c r="M119" s="56" cm="1">
        <f t="array" aca="1" ref="M119:O123" ca="1">'Condición Día D'!AE11:AG15</f>
        <v>536</v>
      </c>
      <c r="N119" s="56">
        <f ca="1"/>
        <v>1.1892720000000001</v>
      </c>
      <c r="O119" s="56">
        <f ca="1"/>
        <v>450.69588790453315</v>
      </c>
      <c r="X119" s="29" t="s">
        <v>312</v>
      </c>
      <c r="Y119" s="32">
        <f ca="1">IFERROR(FORECAST(Y77, OFFSET(TTHH!$M$22,MATCH(Y77,TTHH!$J$22:$J$129,1)-1,0,2), OFFSET(TTHH!$J$22,MATCH(Y77,TTHH!$J$22:$J$129,1)-1,0,2)),0)</f>
        <v>96.777907805253932</v>
      </c>
      <c r="AE119" s="52" t="s">
        <v>6</v>
      </c>
      <c r="AF119" s="56" cm="1">
        <f t="array" aca="1" ref="AF119:AH123" ca="1">_xlfn.ANCHORARRAY(M119)</f>
        <v>536</v>
      </c>
      <c r="AG119" s="56">
        <f ca="1"/>
        <v>1.1892720000000001</v>
      </c>
      <c r="AH119" s="56">
        <f ca="1"/>
        <v>450.69588790453315</v>
      </c>
      <c r="AQ119" s="29" t="s">
        <v>312</v>
      </c>
      <c r="AR119" s="32">
        <f ca="1">IFERROR(FORECAST(AR77, OFFSET(TTHH!$M$22,MATCH(AR77,TTHH!$J$22:$J$129,1)-1,0,2), OFFSET(TTHH!$J$22,MATCH(AR77,TTHH!$J$22:$J$129,1)-1,0,2)),0)</f>
        <v>96.340685943902429</v>
      </c>
      <c r="AX119" s="52" t="s">
        <v>6</v>
      </c>
      <c r="AY119" s="56" cm="1">
        <f t="array" aca="1" ref="AY119:BA123" ca="1">_xlfn.ANCHORARRAY(AF119)</f>
        <v>536</v>
      </c>
      <c r="AZ119" s="56">
        <f ca="1"/>
        <v>1.1892720000000001</v>
      </c>
      <c r="BA119" s="56">
        <f ca="1"/>
        <v>450.69588790453315</v>
      </c>
      <c r="BS119" s="52" t="s">
        <v>6</v>
      </c>
      <c r="BT119" s="56" cm="1">
        <f t="array" aca="1" ref="BT119:BV123" ca="1">_xlfn.ANCHORARRAY(AY119)</f>
        <v>536</v>
      </c>
      <c r="BU119" s="56">
        <f ca="1"/>
        <v>1.1892720000000001</v>
      </c>
      <c r="BV119" s="56">
        <f ca="1"/>
        <v>450.69588790453315</v>
      </c>
      <c r="CE119" s="52" t="s">
        <v>6</v>
      </c>
      <c r="CF119" s="56" cm="1">
        <f t="array" aca="1" ref="CF119:CH123" ca="1">_xlfn.ANCHORARRAY(BT119)</f>
        <v>536</v>
      </c>
      <c r="CG119" s="56">
        <f ca="1"/>
        <v>1.1892720000000001</v>
      </c>
      <c r="CH119" s="56">
        <f ca="1"/>
        <v>450.69588790453315</v>
      </c>
      <c r="CP119" s="29" t="s">
        <v>448</v>
      </c>
      <c r="CQ119" s="42">
        <f ca="1">CQ108+CQ122</f>
        <v>12.390658426323935</v>
      </c>
      <c r="CR119" s="29" t="s">
        <v>449</v>
      </c>
      <c r="CS119" s="42">
        <f ca="1">CQ108+CS122</f>
        <v>11.170893109257937</v>
      </c>
    </row>
    <row r="120" spans="5:99" x14ac:dyDescent="0.3">
      <c r="E120" s="29" t="s">
        <v>313</v>
      </c>
      <c r="F120" s="32">
        <f ca="1">IFERROR(FORECAST(F77, OFFSET(TTHH!$O$22,MATCH(F77,TTHH!$J$22:$J$129,1)-1,0,2), OFFSET(TTHH!$J$22,MATCH(F77,TTHH!$J$22:$J$129,1)-1,0,2)),0)</f>
        <v>89.549734025704211</v>
      </c>
      <c r="L120" s="52" t="s">
        <v>7</v>
      </c>
      <c r="M120" s="56">
        <f ca="1"/>
        <v>25996.562545491717</v>
      </c>
      <c r="N120" s="56">
        <f ca="1"/>
        <v>1.2742200000000001</v>
      </c>
      <c r="O120" s="56">
        <f ca="1"/>
        <v>20401.942008045484</v>
      </c>
      <c r="X120" s="29" t="s">
        <v>313</v>
      </c>
      <c r="Y120" s="32">
        <f ca="1">IFERROR(FORECAST(Y77, OFFSET(TTHH!$O$22,MATCH(Y77,TTHH!$J$22:$J$129,1)-1,0,2), OFFSET(TTHH!$J$22,MATCH(Y77,TTHH!$J$22:$J$129,1)-1,0,2)),0)</f>
        <v>89.176180348861649</v>
      </c>
      <c r="AE120" s="52" t="s">
        <v>7</v>
      </c>
      <c r="AF120" s="56">
        <f ca="1"/>
        <v>25996.562545491717</v>
      </c>
      <c r="AG120" s="56">
        <f ca="1"/>
        <v>1.2742200000000001</v>
      </c>
      <c r="AH120" s="56">
        <f ca="1"/>
        <v>20401.942008045484</v>
      </c>
      <c r="AQ120" s="29" t="s">
        <v>313</v>
      </c>
      <c r="AR120" s="32">
        <f ca="1">IFERROR(FORECAST(AR77, OFFSET(TTHH!$O$22,MATCH(AR77,TTHH!$J$22:$J$129,1)-1,0,2), OFFSET(TTHH!$J$22,MATCH(AR77,TTHH!$J$22:$J$129,1)-1,0,2)),0)</f>
        <v>88.693641078745657</v>
      </c>
      <c r="AX120" s="52" t="s">
        <v>7</v>
      </c>
      <c r="AY120" s="56">
        <f ca="1"/>
        <v>25996.562545491717</v>
      </c>
      <c r="AZ120" s="56">
        <f ca="1"/>
        <v>1.2742200000000001</v>
      </c>
      <c r="BA120" s="56">
        <f ca="1"/>
        <v>20401.942008045484</v>
      </c>
      <c r="BS120" s="52" t="s">
        <v>7</v>
      </c>
      <c r="BT120" s="56">
        <f ca="1"/>
        <v>25996.562545491717</v>
      </c>
      <c r="BU120" s="56">
        <f ca="1"/>
        <v>1.2742200000000001</v>
      </c>
      <c r="BV120" s="56">
        <f ca="1"/>
        <v>20401.942008045484</v>
      </c>
      <c r="CE120" s="52" t="s">
        <v>7</v>
      </c>
      <c r="CF120" s="56">
        <f ca="1"/>
        <v>25996.562545491717</v>
      </c>
      <c r="CG120" s="56">
        <f ca="1"/>
        <v>1.2742200000000001</v>
      </c>
      <c r="CH120" s="56">
        <f ca="1"/>
        <v>20401.942008045484</v>
      </c>
      <c r="CP120" s="29" t="s">
        <v>374</v>
      </c>
      <c r="CQ120" s="42">
        <f ca="1">CQ119+CQ123+CQ124+CQ125</f>
        <v>12.407000579014216</v>
      </c>
      <c r="CR120" s="29" t="s">
        <v>375</v>
      </c>
      <c r="CS120" s="42">
        <f ca="1">CS119+CS123+CS124+CS125</f>
        <v>11.194224367448459</v>
      </c>
      <c r="CT120" s="29" t="s">
        <v>376</v>
      </c>
      <c r="CU120" s="42">
        <f ca="1">CQ108+CU123+CU125</f>
        <v>11.78896219366197</v>
      </c>
    </row>
    <row r="121" spans="5:99" x14ac:dyDescent="0.3">
      <c r="E121" s="29" t="s">
        <v>314</v>
      </c>
      <c r="F121" s="32">
        <f ca="1">FORECAST(F77, OFFSET(TTHH!$Q$22,MATCH(F77,TTHH!$J$22:$J$129,1)-1,0,2), OFFSET(TTHH!$J$22,MATCH(F77,TTHH!$J$22:$J$129,1)-1,0,2))</f>
        <v>780.74013045422544</v>
      </c>
      <c r="L121" s="52" t="s">
        <v>8</v>
      </c>
      <c r="M121" s="56">
        <f ca="1"/>
        <v>688</v>
      </c>
      <c r="N121" s="56">
        <f ca="1"/>
        <v>1.1892720000000001</v>
      </c>
      <c r="O121" s="56">
        <f ca="1"/>
        <v>578.50516954910222</v>
      </c>
      <c r="X121" s="29" t="s">
        <v>314</v>
      </c>
      <c r="Y121" s="32">
        <f ca="1">FORECAST(Y77, OFFSET(TTHH!$Q$22,MATCH(Y77,TTHH!$J$22:$J$129,1)-1,0,2), OFFSET(TTHH!$J$22,MATCH(Y77,TTHH!$J$22:$J$129,1)-1,0,2))</f>
        <v>790.54549127845883</v>
      </c>
      <c r="AE121" s="52" t="s">
        <v>8</v>
      </c>
      <c r="AF121" s="56">
        <f ca="1"/>
        <v>688</v>
      </c>
      <c r="AG121" s="56">
        <f ca="1"/>
        <v>1.1892720000000001</v>
      </c>
      <c r="AH121" s="56">
        <f ca="1"/>
        <v>578.50516954910222</v>
      </c>
      <c r="AQ121" s="29" t="s">
        <v>314</v>
      </c>
      <c r="AR121" s="32">
        <f ca="1">FORECAST(AR77, OFFSET(TTHH!$Q$22,MATCH(AR77,TTHH!$J$22:$J$129,1)-1,0,2), OFFSET(TTHH!$J$22,MATCH(AR77,TTHH!$J$22:$J$129,1)-1,0,2))</f>
        <v>802.897627076655</v>
      </c>
      <c r="AX121" s="52" t="s">
        <v>8</v>
      </c>
      <c r="AY121" s="56">
        <f ca="1"/>
        <v>688</v>
      </c>
      <c r="AZ121" s="56">
        <f ca="1"/>
        <v>1.1892720000000001</v>
      </c>
      <c r="BA121" s="56">
        <f ca="1"/>
        <v>578.50516954910222</v>
      </c>
      <c r="BS121" s="52" t="s">
        <v>8</v>
      </c>
      <c r="BT121" s="56">
        <f ca="1"/>
        <v>688</v>
      </c>
      <c r="BU121" s="56">
        <f ca="1"/>
        <v>1.1892720000000001</v>
      </c>
      <c r="BV121" s="56">
        <f ca="1"/>
        <v>578.50516954910222</v>
      </c>
      <c r="CE121" s="52" t="s">
        <v>8</v>
      </c>
      <c r="CF121" s="56">
        <f ca="1"/>
        <v>688</v>
      </c>
      <c r="CG121" s="56">
        <f ca="1"/>
        <v>1.1892720000000001</v>
      </c>
      <c r="CH121" s="56">
        <f ca="1"/>
        <v>578.50516954910222</v>
      </c>
    </row>
    <row r="122" spans="5:99" x14ac:dyDescent="0.3">
      <c r="L122" s="52" t="s">
        <v>9</v>
      </c>
      <c r="M122" s="56">
        <f ca="1"/>
        <v>12584.816428142238</v>
      </c>
      <c r="N122" s="56">
        <f ca="1"/>
        <v>1.18</v>
      </c>
      <c r="O122" s="56">
        <f ca="1"/>
        <v>10665.098667917151</v>
      </c>
      <c r="AE122" s="52" t="s">
        <v>9</v>
      </c>
      <c r="AF122" s="56">
        <f ca="1"/>
        <v>12584.816428142238</v>
      </c>
      <c r="AG122" s="56">
        <f ca="1"/>
        <v>1.18</v>
      </c>
      <c r="AH122" s="56">
        <f ca="1"/>
        <v>10665.098667917151</v>
      </c>
      <c r="AX122" s="52" t="s">
        <v>9</v>
      </c>
      <c r="AY122" s="56">
        <f ca="1"/>
        <v>12584.816428142238</v>
      </c>
      <c r="AZ122" s="56">
        <f ca="1"/>
        <v>1.18</v>
      </c>
      <c r="BA122" s="56">
        <f ca="1"/>
        <v>10665.098667917151</v>
      </c>
      <c r="BS122" s="52" t="s">
        <v>9</v>
      </c>
      <c r="BT122" s="56">
        <f ca="1"/>
        <v>12584.816428142238</v>
      </c>
      <c r="BU122" s="56">
        <f ca="1"/>
        <v>1.18</v>
      </c>
      <c r="BV122" s="56">
        <f ca="1"/>
        <v>10665.098667917151</v>
      </c>
      <c r="CE122" s="52" t="s">
        <v>9</v>
      </c>
      <c r="CF122" s="56">
        <f ca="1"/>
        <v>12584.816428142238</v>
      </c>
      <c r="CG122" s="56">
        <f ca="1"/>
        <v>1.18</v>
      </c>
      <c r="CH122" s="56">
        <f ca="1"/>
        <v>10665.098667917151</v>
      </c>
      <c r="CP122" s="29" t="s">
        <v>454</v>
      </c>
      <c r="CQ122" s="32">
        <f ca="1">IF(CR114="Apopante",(-1)*(CS114-ABS(CS122)),CS114-ABS(CS122))</f>
        <v>0.62369623266196506</v>
      </c>
      <c r="CR122" s="29" t="s">
        <v>457</v>
      </c>
      <c r="CS122" s="32">
        <f ca="1">IF(CR114="Aproante",((-1)*CS114*CQ128)/183.25,(CS114*CQ128)/183.25)</f>
        <v>-0.5960690844040315</v>
      </c>
    </row>
    <row r="123" spans="5:99" x14ac:dyDescent="0.3">
      <c r="L123" s="52" t="s">
        <v>10</v>
      </c>
      <c r="M123" s="56">
        <f ca="1"/>
        <v>688</v>
      </c>
      <c r="N123" s="56">
        <f ca="1"/>
        <v>1.1892720000000001</v>
      </c>
      <c r="O123" s="56">
        <f ca="1"/>
        <v>578.50516954910222</v>
      </c>
      <c r="AE123" s="52" t="s">
        <v>10</v>
      </c>
      <c r="AF123" s="56">
        <f ca="1"/>
        <v>688</v>
      </c>
      <c r="AG123" s="56">
        <f ca="1"/>
        <v>1.1892720000000001</v>
      </c>
      <c r="AH123" s="56">
        <f ca="1"/>
        <v>578.50516954910222</v>
      </c>
      <c r="AX123" s="52" t="s">
        <v>10</v>
      </c>
      <c r="AY123" s="56">
        <f ca="1"/>
        <v>688</v>
      </c>
      <c r="AZ123" s="56">
        <f ca="1"/>
        <v>1.1892720000000001</v>
      </c>
      <c r="BA123" s="56">
        <f ca="1"/>
        <v>578.50516954910222</v>
      </c>
      <c r="BS123" s="52" t="s">
        <v>10</v>
      </c>
      <c r="BT123" s="56">
        <f ca="1"/>
        <v>688</v>
      </c>
      <c r="BU123" s="56">
        <f ca="1"/>
        <v>1.1892720000000001</v>
      </c>
      <c r="BV123" s="56">
        <f ca="1"/>
        <v>578.50516954910222</v>
      </c>
      <c r="CE123" s="52" t="s">
        <v>10</v>
      </c>
      <c r="CF123" s="56">
        <f ca="1"/>
        <v>688</v>
      </c>
      <c r="CG123" s="56">
        <f ca="1"/>
        <v>1.1892720000000001</v>
      </c>
      <c r="CH123" s="56">
        <f ca="1"/>
        <v>578.50516954910222</v>
      </c>
      <c r="CP123" s="29" t="s">
        <v>109</v>
      </c>
      <c r="CQ123" s="42">
        <f>TTHH!$S$11</f>
        <v>2.1999999999999999E-2</v>
      </c>
      <c r="CR123" s="29" t="s">
        <v>109</v>
      </c>
      <c r="CS123" s="42">
        <f>TTHH!$S$11</f>
        <v>2.1999999999999999E-2</v>
      </c>
      <c r="CT123" s="29" t="s">
        <v>109</v>
      </c>
      <c r="CU123" s="42">
        <f>TTHH!$S$11</f>
        <v>2.1999999999999999E-2</v>
      </c>
    </row>
    <row r="124" spans="5:99" x14ac:dyDescent="0.3">
      <c r="L124" s="18"/>
      <c r="M124" s="18"/>
      <c r="N124" s="18"/>
      <c r="O124" s="18"/>
      <c r="AE124" s="18"/>
      <c r="AF124" s="18"/>
      <c r="AG124" s="18"/>
      <c r="AH124" s="18"/>
      <c r="AX124" s="18"/>
      <c r="AY124" s="18"/>
      <c r="AZ124" s="18"/>
      <c r="BA124" s="18"/>
      <c r="BS124" s="18"/>
      <c r="BT124" s="18"/>
      <c r="BU124" s="18"/>
      <c r="BV124" s="18"/>
      <c r="CE124" s="18"/>
      <c r="CF124" s="18"/>
      <c r="CG124" s="18"/>
      <c r="CH124" s="18"/>
      <c r="CP124" s="29" t="s">
        <v>455</v>
      </c>
      <c r="CQ124" s="40">
        <f ca="1">IF(CQ122&lt;0,(CS114*CT115)/TTHH!$S$14,(-1)*(CS114*CT115)/TTHH!$S$14)</f>
        <v>-5.6578473097194919E-3</v>
      </c>
      <c r="CR124" s="29" t="s">
        <v>458</v>
      </c>
      <c r="CS124" s="40">
        <f ca="1">IF(CS122&lt;0,(CS114*CT116)/TTHH!$S$14,(-1)*(CS114*CT116)/TTHH!$S$14)</f>
        <v>1.3312581905222337E-3</v>
      </c>
    </row>
    <row r="125" spans="5:99" x14ac:dyDescent="0.3">
      <c r="L125" s="18"/>
      <c r="M125" s="18"/>
      <c r="N125" s="52" t="s">
        <v>389</v>
      </c>
      <c r="O125" s="56">
        <f ca="1">SUM(O119:O123)</f>
        <v>32674.746902965373</v>
      </c>
      <c r="AE125" s="18"/>
      <c r="AF125" s="18"/>
      <c r="AG125" s="52" t="s">
        <v>389</v>
      </c>
      <c r="AH125" s="56">
        <f ca="1">SUM(AH119:AH123)</f>
        <v>32674.746902965373</v>
      </c>
      <c r="AX125" s="18"/>
      <c r="AY125" s="18"/>
      <c r="AZ125" s="52" t="s">
        <v>389</v>
      </c>
      <c r="BA125" s="56">
        <f ca="1">SUM(BA119:BA123)</f>
        <v>32674.746902965373</v>
      </c>
      <c r="BS125" s="18"/>
      <c r="BT125" s="18"/>
      <c r="BU125" s="52" t="s">
        <v>389</v>
      </c>
      <c r="BV125" s="56">
        <f ca="1">SUM(BV119:BV123)</f>
        <v>32674.746902965373</v>
      </c>
      <c r="CE125" s="18"/>
      <c r="CF125" s="18"/>
      <c r="CG125" s="52" t="s">
        <v>389</v>
      </c>
      <c r="CH125" s="56">
        <f ca="1">SUM(CH119:CH123)</f>
        <v>32674.746902965373</v>
      </c>
      <c r="CP125" s="29" t="s">
        <v>456</v>
      </c>
      <c r="CQ125" s="32">
        <f>IF(CQ117="Ninguno",0,IF(CQ117="Arrufo",(-3/4)*CS117,IF(CQ117="Quebranto",(3/4)*CS117,0)))</f>
        <v>0</v>
      </c>
      <c r="CR125" s="29" t="s">
        <v>456</v>
      </c>
      <c r="CS125" s="32">
        <f>IF(CQ117="Ninguno",0,IF(CQ117="Arrufo",(-3/4)*CS117,IF(CQ117="Quebranto",(3/4)*CS117,0)))</f>
        <v>0</v>
      </c>
      <c r="CT125" s="29" t="s">
        <v>456</v>
      </c>
      <c r="CU125" s="32">
        <f>IF(CQ117="Ninguno",0,IF(CQ117="Arrufo",(1/4)*CS117,IF(CQ117="Quebranto",(-1/4)*CS117,0)))</f>
        <v>0</v>
      </c>
    </row>
    <row r="127" spans="5:99" x14ac:dyDescent="0.3">
      <c r="E127" s="29" t="s">
        <v>547</v>
      </c>
      <c r="F127" s="29">
        <v>0</v>
      </c>
      <c r="G127" s="29">
        <v>5</v>
      </c>
      <c r="H127" s="29">
        <v>10</v>
      </c>
      <c r="I127" s="29">
        <v>12</v>
      </c>
      <c r="J127" s="29">
        <v>20</v>
      </c>
      <c r="K127" s="29">
        <v>30</v>
      </c>
      <c r="L127" s="29">
        <v>40</v>
      </c>
      <c r="M127" s="29">
        <v>50</v>
      </c>
      <c r="N127" s="29">
        <v>60</v>
      </c>
      <c r="O127" s="29">
        <v>75</v>
      </c>
      <c r="X127" s="29" t="s">
        <v>547</v>
      </c>
      <c r="Y127" s="29">
        <v>0</v>
      </c>
      <c r="Z127" s="29">
        <v>5</v>
      </c>
      <c r="AA127" s="29">
        <v>10</v>
      </c>
      <c r="AB127" s="29">
        <v>12</v>
      </c>
      <c r="AC127" s="29">
        <v>20</v>
      </c>
      <c r="AD127" s="29">
        <v>30</v>
      </c>
      <c r="AE127" s="29">
        <v>40</v>
      </c>
      <c r="AF127" s="29">
        <v>50</v>
      </c>
      <c r="AG127" s="29">
        <v>60</v>
      </c>
      <c r="AH127" s="29">
        <v>75</v>
      </c>
      <c r="AQ127" s="29" t="s">
        <v>547</v>
      </c>
      <c r="AR127" s="29">
        <v>0</v>
      </c>
      <c r="AS127" s="29">
        <v>5</v>
      </c>
      <c r="AT127" s="29">
        <v>10</v>
      </c>
      <c r="AU127" s="29">
        <v>12</v>
      </c>
      <c r="AV127" s="29">
        <v>20</v>
      </c>
      <c r="AW127" s="29">
        <v>30</v>
      </c>
      <c r="AX127" s="29">
        <v>40</v>
      </c>
      <c r="AY127" s="29">
        <v>50</v>
      </c>
      <c r="AZ127" s="29">
        <v>60</v>
      </c>
      <c r="BA127" s="29">
        <v>75</v>
      </c>
      <c r="CP127" s="29" t="s">
        <v>312</v>
      </c>
      <c r="CQ127" s="32">
        <f ca="1">IFERROR(FORECAST(CQ108, OFFSET(TTHH!$M$22,MATCH(CQ108,TTHH!$J$22:$J$129,1)-1,0,2), OFFSET(TTHH!$J$22,MATCH(CQ108,TTHH!$J$22:$J$129,1)-1,0,2)),0)</f>
        <v>97.096430245070408</v>
      </c>
    </row>
    <row r="128" spans="5:99" x14ac:dyDescent="0.3">
      <c r="E128" s="29" t="s">
        <v>390</v>
      </c>
      <c r="F128" s="32">
        <v>0</v>
      </c>
      <c r="G128" s="32">
        <f ca="1">IFERROR(FORECAST(F77, OFFSET(TTHH!CM10, MATCH(F77,Tabla4[[#All],[Columna1]],1)-1, 0, 2), OFFSET(TTHH!CL10, MATCH(F77,Tabla4[[#All],[Columna1]],1)-1, 0, 2)),"")</f>
        <v>1.1913303780633804</v>
      </c>
      <c r="H128" s="32">
        <f ca="1">IFERROR(FORECAST(F77, OFFSET(TTHH!CN10, MATCH(F77,Tabla4[[#All],[Columna1]],1)-1, 0, 2), OFFSET(TTHH!CL10, MATCH(F77,Tabla4[[#All],[Columna1]],1)-1, 0, 2)),"")</f>
        <v>2.3933303780633799</v>
      </c>
      <c r="I128" s="32">
        <f ca="1">IFERROR(FORECAST(F77, OFFSET(TTHH!CO10, MATCH(F77,Tabla4[[#All],[Columna1]],1)-1, 0, 2), OFFSET(TTHH!CL10, MATCH(F77,Tabla4[[#All],[Columna1]],1)-1, 0, 2)),"")</f>
        <v>2.8773303780633799</v>
      </c>
      <c r="J128" s="32">
        <f ca="1">IFERROR(FORECAST(F77, OFFSET(TTHH!CP10, MATCH(F77,Tabla4[[#All],[Columna1]],1)-1, 0, 2), OFFSET(TTHH!$CL$10, MATCH(F77,Tabla4[[#All],[Columna1]],1)-1, 0, 2)),"")</f>
        <v>4.8393215122535214</v>
      </c>
      <c r="K128" s="32">
        <f ca="1">IFERROR(FORECAST(F77, OFFSET(TTHH!CQ10, MATCH(F77,Tabla4[[#All],[Columna1]],1)-1, 0, 2), OFFSET(TTHH!$CL$10, MATCH(F77,Tabla4[[#All],[Columna1]],1)-1, 0, 2)),"")</f>
        <v>6.9849202077112675</v>
      </c>
      <c r="L128" s="32">
        <f ca="1">IFERROR(FORECAST(F77, OFFSET(TTHH!CR10, MATCH(F77,Tabla4[[#All],[Columna1]],1)-1, 0, 2), OFFSET(TTHH!$CL$10, MATCH(F77,Tabla4[[#All],[Columna1]],1)-1, 0, 2)),"")</f>
        <v>8.8502417199647869</v>
      </c>
      <c r="M128" s="32">
        <f ca="1">IFERROR(FORECAST(F77, OFFSET(TTHH!CS10, MATCH(F77,Tabla4[[#All],[Columna1]],1)-1, 0, 2), OFFSET(TTHH!$CL$10, MATCH(F77,Tabla4[[#All],[Columna1]],1)-1, 0, 2)),"")</f>
        <v>10.12691134190141</v>
      </c>
      <c r="N128" s="32">
        <f ca="1">IFERROR(FORECAST(F77, OFFSET(TTHH!CT10, MATCH(F77,Tabla4[[#All],[Columna1]],1)-1, 0, 2), OFFSET(TTHH!$CL$10, MATCH(F77,Tabla4[[#All],[Columna1]],1)-1, 0, 2)),"")</f>
        <v>10.795929073521128</v>
      </c>
      <c r="O128" s="32">
        <f ca="1">IFERROR(FORECAST(F77, OFFSET(TTHH!CU10, MATCH(F77,Tabla4[[#All],[Columna1]],1)-1, 0, 2), OFFSET(TTHH!$CL$10, MATCH(F77,Tabla4[[#All],[Columna1]],1)-1, 0, 2)),"")</f>
        <v>10.939294914823945</v>
      </c>
      <c r="X128" s="29" t="s">
        <v>390</v>
      </c>
      <c r="Y128" s="32">
        <v>0</v>
      </c>
      <c r="Z128" s="32">
        <f ca="1">IFERROR(FORECAST($Y$77, OFFSET(TTHH!$CM$10, MATCH($Y$77,Tabla4[[#All],[Columna1]],1)-1, 0, 2), OFFSET(TTHH!$CL$10, MATCH($Y$77,Tabla4[[#All],[Columna1]],1)-1, 0, 2)),"")</f>
        <v>1.19</v>
      </c>
      <c r="AA128" s="32">
        <f ca="1">IFERROR(FORECAST(Y77, OFFSET(TTHH!CN10, MATCH(Y77,Tabla4[[#All],[Columna1]],1)-1, 0, 2), OFFSET(TTHH!CL10, MATCH(Y77,Tabla4[[#All],[Columna1]],1)-1, 0, 2)),"")</f>
        <v>2.39</v>
      </c>
      <c r="AB128" s="32">
        <f ca="1">IFERROR(FORECAST(Y77, OFFSET(TTHH!CO10, MATCH(Y77,Tabla4[[#All],[Columna1]],1)-1, 0, 2), OFFSET(TTHH!CL10, MATCH(Y77,Tabla4[[#All],[Columna1]],1)-1, 0, 2)),"")</f>
        <v>2.8730000000000002</v>
      </c>
      <c r="AC128" s="32">
        <f ca="1">IFERROR(FORECAST(Y77, OFFSET(TTHH!CP10, MATCH(Y77,Tabla4[[#All],[Columna1]],1)-1, 0, 2), OFFSET(TTHH!$CL$10, MATCH(Y77,Tabla4[[#All],[Columna1]],1)-1, 0, 2)),"")</f>
        <v>4.8167907805253938</v>
      </c>
      <c r="AD128" s="32">
        <f ca="1">IFERROR(FORECAST(Y77, OFFSET(TTHH!CQ10, MATCH(Y77,Tabla4[[#All],[Columna1]],1)-1, 0, 2), OFFSET(TTHH!$CL$10, MATCH(Y77,Tabla4[[#All],[Columna1]],1)-1, 0, 2)),"")</f>
        <v>6.870854104658493</v>
      </c>
      <c r="AE128" s="32">
        <f ca="1">IFERROR(FORECAST(Y77, OFFSET(TTHH!CR10, MATCH(Y77,Tabla4[[#All],[Columna1]],1)-1, 0, 2), OFFSET(TTHH!$CL$10, MATCH(Y77,Tabla4[[#All],[Columna1]],1)-1, 0, 2)),"")</f>
        <v>8.7086448851838867</v>
      </c>
      <c r="AF128" s="32">
        <f ca="1">IFERROR(FORECAST(Y77, OFFSET(TTHH!CS10, MATCH(Y77,Tabla4[[#All],[Columna1]],1)-1, 0, 2), OFFSET(TTHH!$CL$10, MATCH(Y77,Tabla4[[#All],[Columna1]],1)-1, 0, 2)),"")</f>
        <v>9.9884721395446565</v>
      </c>
      <c r="AG128" s="32">
        <f ca="1">IFERROR(FORECAST(Y77, OFFSET(TTHH!CT10, MATCH(Y77,Tabla4[[#All],[Columna1]],1)-1, 0, 2), OFFSET(TTHH!$CL$10, MATCH(Y77,Tabla4[[#All],[Columna1]],1)-1, 0, 2)),"")</f>
        <v>10.684681359019265</v>
      </c>
      <c r="AH128" s="32">
        <f ca="1">IFERROR(FORECAST(Y77, OFFSET(TTHH!CU10, MATCH(Y77,Tabla4[[#All],[Columna1]],1)-1, 0, 2), OFFSET(TTHH!$CL$10, MATCH(Y77,Tabla4[[#All],[Columna1]],1)-1, 0, 2)),"")</f>
        <v>10.880581561050787</v>
      </c>
      <c r="AQ128" s="29" t="s">
        <v>390</v>
      </c>
      <c r="AR128" s="32">
        <v>0</v>
      </c>
      <c r="AS128" s="32">
        <f ca="1">IFERROR(FORECAST(AR77, OFFSET(TTHH!$CM$10, MATCH(AR77,Tabla4[[#All],[Columna1]],1)-1, 0, 2), OFFSET(TTHH!$CL$10, MATCH(AR77,Tabla4[[#All],[Columna1]],1)-1, 0, 2)),"")</f>
        <v>1.19</v>
      </c>
      <c r="AT128" s="32">
        <f ca="1">IFERROR(FORECAST(AR77, OFFSET(TTHH!CN10, MATCH(AR77,Tabla4[[#All],[Columna1]],1)-1, 0, 2), OFFSET(TTHH!CL10, MATCH(AR77,Tabla4[[#All],[Columna1]],1)-1, 0, 2)),"")</f>
        <v>2.3907044865156797</v>
      </c>
      <c r="AU128" s="32">
        <f ca="1">IFERROR(FORECAST(AR77, OFFSET(TTHH!CO10, MATCH(AR77,Tabla4[[#All],[Columna1]],1)-1, 0, 2), OFFSET(TTHH!CL10, MATCH(AR77,Tabla4[[#All],[Columna1]],1)-1, 0, 2)),"")</f>
        <v>2.8730000000000002</v>
      </c>
      <c r="AV128" s="32">
        <f ca="1">IFERROR(FORECAST(AR77, OFFSET(TTHH!CP10, MATCH(AR77,Tabla4[[#All],[Columna1]],1)-1, 0, 2), OFFSET(TTHH!$CL$10, MATCH(AR77,Tabla4[[#All],[Columna1]],1)-1, 0, 2)),"")</f>
        <v>4.7602506483275251</v>
      </c>
      <c r="AW128" s="32">
        <f ca="1">IFERROR(FORECAST(AR77, OFFSET(TTHH!CQ10, MATCH(AR77,Tabla4[[#All],[Columna1]],1)-1, 0, 2), OFFSET(TTHH!$CL$10, MATCH(AR77,Tabla4[[#All],[Columna1]],1)-1, 0, 2)),"")</f>
        <v>6.7232057831707319</v>
      </c>
      <c r="AX128" s="32">
        <f ca="1">IFERROR(FORECAST(AR77, OFFSET(TTHH!CR10, MATCH(AR77,Tabla4[[#All],[Columna1]],1)-1, 0, 2), OFFSET(TTHH!$CL$10, MATCH(AR77,Tabla4[[#All],[Columna1]],1)-1, 0, 2)),"")</f>
        <v>8.4977519449825785</v>
      </c>
      <c r="AY128" s="32">
        <f ca="1">IFERROR(FORECAST(AR77, OFFSET(TTHH!CS10, MATCH(AR77,Tabla4[[#All],[Columna1]],1)-1, 0, 2), OFFSET(TTHH!$CL$10, MATCH(AR77,Tabla4[[#All],[Columna1]],1)-1, 0, 2)),"")</f>
        <v>9.7777519449825796</v>
      </c>
      <c r="AZ128" s="32">
        <f ca="1">IFERROR(FORECAST(AR77, OFFSET(TTHH!CT10, MATCH(AR77,Tabla4[[#All],[Columna1]],1)-1, 0, 2), OFFSET(TTHH!$CL$10, MATCH(AR77,Tabla4[[#All],[Columna1]],1)-1, 0, 2)),"")</f>
        <v>10.516683350592334</v>
      </c>
      <c r="BA128" s="32">
        <f ca="1">IFERROR(FORECAST(AR77, OFFSET(TTHH!CU10, MATCH(AR77,Tabla4[[#All],[Columna1]],1)-1, 0, 2), OFFSET(TTHH!$CL$10, MATCH(AR77,Tabla4[[#All],[Columna1]],1)-1, 0, 2)),"")</f>
        <v>10.793137188780486</v>
      </c>
      <c r="CP128" s="29" t="s">
        <v>313</v>
      </c>
      <c r="CQ128" s="32">
        <f ca="1">IFERROR(FORECAST(CQ108, OFFSET(TTHH!$O$22,MATCH(CQ108,TTHH!$J$22:$J$129,1)-1,0,2), OFFSET(TTHH!$J$22,MATCH(CQ108,TTHH!$J$22:$J$129,1)-1,0,2)),0)</f>
        <v>89.549734025704225</v>
      </c>
    </row>
    <row r="129" spans="5:95" x14ac:dyDescent="0.3">
      <c r="E129" s="29" t="s">
        <v>548</v>
      </c>
      <c r="F129" s="32">
        <f t="shared" ref="F129:O129" ca="1" si="47">$M$12*SIN(RADIANS(F127))</f>
        <v>0</v>
      </c>
      <c r="G129" s="32">
        <f t="shared" ca="1" si="47"/>
        <v>0.83621238986873692</v>
      </c>
      <c r="H129" s="32">
        <f t="shared" ca="1" si="47"/>
        <v>1.6660606985317268</v>
      </c>
      <c r="I129" s="32">
        <f t="shared" ca="1" si="47"/>
        <v>1.9948006451363751</v>
      </c>
      <c r="J129" s="32">
        <f t="shared" ca="1" si="47"/>
        <v>3.2814989858059591</v>
      </c>
      <c r="K129" s="32">
        <f t="shared" ca="1" si="47"/>
        <v>4.7972305869150853</v>
      </c>
      <c r="L129" s="32">
        <f t="shared" ca="1" si="47"/>
        <v>6.167200764156604</v>
      </c>
      <c r="M129" s="32">
        <f t="shared" ca="1" si="47"/>
        <v>7.3497836669333907</v>
      </c>
      <c r="N129" s="32">
        <f t="shared" ca="1" si="47"/>
        <v>8.3090471121603944</v>
      </c>
      <c r="O129" s="32">
        <f t="shared" ca="1" si="47"/>
        <v>9.267537837130293</v>
      </c>
      <c r="X129" s="29" t="s">
        <v>548</v>
      </c>
      <c r="Y129" s="32">
        <f ca="1">$M$12*SIN(RADIANS(Y127))</f>
        <v>0</v>
      </c>
      <c r="Z129" s="32">
        <f ca="1">$AF$12*SIN(RADIANS(Z127))</f>
        <v>0.80641147126500756</v>
      </c>
      <c r="AA129" s="32">
        <f t="shared" ref="AA129:AH129" ca="1" si="48">$AF$12*SIN(RADIANS(AA127))</f>
        <v>1.606685664309129</v>
      </c>
      <c r="AB129" s="32">
        <f t="shared" ca="1" si="48"/>
        <v>1.9237099839878271</v>
      </c>
      <c r="AC129" s="32">
        <f t="shared" ca="1" si="48"/>
        <v>3.1645529977304006</v>
      </c>
      <c r="AD129" s="32">
        <f t="shared" ca="1" si="48"/>
        <v>4.6262669896567159</v>
      </c>
      <c r="AE129" s="32">
        <f t="shared" ca="1" si="48"/>
        <v>5.9474142001063655</v>
      </c>
      <c r="AF129" s="32">
        <f t="shared" ca="1" si="48"/>
        <v>7.0878522396225812</v>
      </c>
      <c r="AG129" s="32">
        <f t="shared" ca="1" si="48"/>
        <v>8.0129294754641549</v>
      </c>
      <c r="AH129" s="32">
        <f t="shared" ca="1" si="48"/>
        <v>8.9372615292360091</v>
      </c>
      <c r="AQ129" s="29" t="s">
        <v>548</v>
      </c>
      <c r="AR129" s="32">
        <f ca="1">$M$12*SIN(RADIANS(AR127))</f>
        <v>0</v>
      </c>
      <c r="AS129" s="32">
        <f ca="1">$AY$12*SIN(RADIANS(AS127))</f>
        <v>0.81237250595305088</v>
      </c>
      <c r="AT129" s="32">
        <f t="shared" ref="AT129:BA129" ca="1" si="49">$AY$12*SIN(RADIANS(AT127))</f>
        <v>1.6185623666118685</v>
      </c>
      <c r="AU129" s="32">
        <f t="shared" ca="1" si="49"/>
        <v>1.9379301462162961</v>
      </c>
      <c r="AV129" s="32">
        <f t="shared" ca="1" si="49"/>
        <v>3.1879455347463121</v>
      </c>
      <c r="AW129" s="32">
        <f t="shared" ca="1" si="49"/>
        <v>4.6604645909857663</v>
      </c>
      <c r="AX129" s="32">
        <f t="shared" ca="1" si="49"/>
        <v>5.9913777889369921</v>
      </c>
      <c r="AY129" s="32">
        <f t="shared" ca="1" si="49"/>
        <v>7.1402460045548155</v>
      </c>
      <c r="AZ129" s="32">
        <f t="shared" ca="1" si="49"/>
        <v>8.0721614584630554</v>
      </c>
      <c r="BA129" s="32">
        <f t="shared" ca="1" si="49"/>
        <v>9.0033262218777441</v>
      </c>
      <c r="BJ129" s="29" t="s">
        <v>547</v>
      </c>
      <c r="BK129" s="29">
        <v>0</v>
      </c>
      <c r="BL129" s="29">
        <v>5</v>
      </c>
      <c r="BM129" s="29">
        <v>10</v>
      </c>
      <c r="BN129" s="29">
        <v>12</v>
      </c>
      <c r="BO129" s="29">
        <v>20</v>
      </c>
      <c r="BP129" s="29">
        <v>30</v>
      </c>
      <c r="BQ129" s="29">
        <v>40</v>
      </c>
      <c r="BR129" s="29">
        <v>50</v>
      </c>
      <c r="BS129" s="29">
        <v>60</v>
      </c>
      <c r="BT129" s="29">
        <v>75</v>
      </c>
      <c r="CP129" s="29" t="s">
        <v>314</v>
      </c>
      <c r="CQ129" s="32">
        <f ca="1">FORECAST(CQ108, OFFSET(TTHH!$Q$22,MATCH(CQ108,TTHH!$J$22:$J$129,1)-1,0,2), OFFSET(TTHH!$J$22,MATCH(CQ108,TTHH!$J$22:$J$129,1)-1,0,2))</f>
        <v>780.74013045422532</v>
      </c>
    </row>
    <row r="130" spans="5:95" x14ac:dyDescent="0.3">
      <c r="E130" s="29" t="s">
        <v>551</v>
      </c>
      <c r="F130" s="32">
        <f t="shared" ref="F130:O130" ca="1" si="50">ABS($M$14)*COS(RADIANS(F127))</f>
        <v>1.3896190926975112</v>
      </c>
      <c r="G130" s="32">
        <f t="shared" ca="1" si="50"/>
        <v>1.3843311725123224</v>
      </c>
      <c r="H130" s="32">
        <f t="shared" ca="1" si="50"/>
        <v>1.3685076562222991</v>
      </c>
      <c r="I130" s="32">
        <f t="shared" ca="1" si="50"/>
        <v>1.3592525814559584</v>
      </c>
      <c r="J130" s="32">
        <f t="shared" ca="1" si="50"/>
        <v>1.3058148071110605</v>
      </c>
      <c r="K130" s="32">
        <f t="shared" ca="1" si="50"/>
        <v>1.2034454358599274</v>
      </c>
      <c r="L130" s="32">
        <f t="shared" ca="1" si="50"/>
        <v>1.0645099840129644</v>
      </c>
      <c r="M130" s="32">
        <f t="shared" ca="1" si="50"/>
        <v>0.89322993496981073</v>
      </c>
      <c r="N130" s="32">
        <f t="shared" ca="1" si="50"/>
        <v>0.69480954634875569</v>
      </c>
      <c r="O130" s="32">
        <f t="shared" ca="1" si="50"/>
        <v>0.35965988662820109</v>
      </c>
      <c r="X130" s="29" t="s">
        <v>551</v>
      </c>
      <c r="Y130" s="32">
        <f ca="1">ABS($AF$14)*COS(RADIANS(Y127))</f>
        <v>1.0438164292438874</v>
      </c>
      <c r="Z130" s="32">
        <f t="shared" ref="Z130:AH130" ca="1" si="51">ABS($AF$14)*COS(RADIANS(Z127))</f>
        <v>1.0398443925938183</v>
      </c>
      <c r="AA130" s="32">
        <f t="shared" ca="1" si="51"/>
        <v>1.0279585122408992</v>
      </c>
      <c r="AB130" s="32">
        <f t="shared" ca="1" si="51"/>
        <v>1.0210065358714366</v>
      </c>
      <c r="AC130" s="32">
        <f t="shared" ca="1" si="51"/>
        <v>0.98086659601557735</v>
      </c>
      <c r="AD130" s="32">
        <f t="shared" ca="1" si="51"/>
        <v>0.90397154461276863</v>
      </c>
      <c r="AE130" s="32">
        <f t="shared" ca="1" si="51"/>
        <v>0.7996097752585738</v>
      </c>
      <c r="AF130" s="32">
        <f t="shared" ca="1" si="51"/>
        <v>0.67095226750521708</v>
      </c>
      <c r="AG130" s="32">
        <f t="shared" ca="1" si="51"/>
        <v>0.52190821462194381</v>
      </c>
      <c r="AH130" s="32">
        <f t="shared" ca="1" si="51"/>
        <v>0.27015957147922587</v>
      </c>
      <c r="AQ130" s="29" t="s">
        <v>551</v>
      </c>
      <c r="AR130" s="32">
        <f ca="1">ABS($AY$14)*COS(RADIANS(AR127))</f>
        <v>0.21529474146660835</v>
      </c>
      <c r="AS130" s="32">
        <f t="shared" ref="AS130:BA130" ca="1" si="52">ABS($AY$14)*COS(RADIANS(AS127))</f>
        <v>0.21447547997606831</v>
      </c>
      <c r="AT130" s="32">
        <f t="shared" ca="1" si="52"/>
        <v>0.21202393057907482</v>
      </c>
      <c r="AU130" s="32">
        <f t="shared" ca="1" si="52"/>
        <v>0.21059003481616795</v>
      </c>
      <c r="AV130" s="32">
        <f t="shared" ca="1" si="52"/>
        <v>0.20231087985018179</v>
      </c>
      <c r="AW130" s="32">
        <f t="shared" ca="1" si="52"/>
        <v>0.18645071541128583</v>
      </c>
      <c r="AX130" s="32">
        <f t="shared" ca="1" si="52"/>
        <v>0.16492534033323233</v>
      </c>
      <c r="AY130" s="32">
        <f t="shared" ca="1" si="52"/>
        <v>0.13838879224540265</v>
      </c>
      <c r="AZ130" s="32">
        <f t="shared" ca="1" si="52"/>
        <v>0.1076473707333042</v>
      </c>
      <c r="BA130" s="32">
        <f t="shared" ca="1" si="52"/>
        <v>5.5722379401981645E-2</v>
      </c>
      <c r="BJ130" s="29" t="s">
        <v>390</v>
      </c>
      <c r="BK130" s="32">
        <v>0</v>
      </c>
      <c r="BL130" s="32">
        <f ca="1">IFERROR(FORECAST(BK104, OFFSET(TTHH!$CM$10, MATCH(BK104,Tabla4[[#All],[Columna1]],1)-1, 0, 2), OFFSET(TTHH!$CL$10, MATCH(BK104,Tabla4[[#All],[Columna1]],1)-1, 0, 2)),"")</f>
        <v>1.1913302636267606</v>
      </c>
      <c r="BM130" s="32">
        <f ca="1">IFERROR(FORECAST(BK104, OFFSET(TTHH!CN10, MATCH(BK104,Tabla4[[#All],[Columna1]],1)-1, 0, 2), OFFSET(TTHH!CL10, MATCH(BK104,Tabla4[[#All],[Columna1]],1)-1, 0, 2)),"")</f>
        <v>2.3933302636267602</v>
      </c>
      <c r="BN130" s="32">
        <f ca="1">IFERROR(FORECAST(BK104, OFFSET(TTHH!CO10, MATCH(BK104,Tabla4[[#All],[Columna1]],1)-1, 0, 2), OFFSET(TTHH!CL10, MATCH(BK104,Tabla4[[#All],[Columna1]],1)-1, 0, 2)),"")</f>
        <v>2.8773302636267601</v>
      </c>
      <c r="BO130" s="32">
        <f ca="1">IFERROR(FORECAST(BK104, OFFSET(TTHH!CP10, MATCH(BK104,Tabla4[[#All],[Columna1]],1)-1, 0, 2), OFFSET(TTHH!$CL$10, MATCH(BK104,Tabla4[[#All],[Columna1]],1)-1, 0, 2)),"")</f>
        <v>4.8393210545070424</v>
      </c>
      <c r="BP130" s="32">
        <f ca="1">IFERROR(FORECAST(BK104, OFFSET(TTHH!CQ10, MATCH(BK104,Tabla4[[#All],[Columna1]],1)-1, 0, 2), OFFSET(TTHH!$CL$10, MATCH(BK104,Tabla4[[#All],[Columna1]],1)-1, 0, 2)),"")</f>
        <v>6.984917117922536</v>
      </c>
      <c r="BQ130" s="32">
        <f ca="1">IFERROR(FORECAST(BK104, OFFSET(TTHH!CR10, MATCH(BK104,Tabla4[[#All],[Columna1]],1)-1, 0, 2), OFFSET(TTHH!$CL$10, MATCH(BK104,Tabla4[[#All],[Columna1]],1)-1, 0, 2)),"")</f>
        <v>8.8502381724295756</v>
      </c>
      <c r="BR130" s="32">
        <f ca="1">IFERROR(FORECAST(BK104, OFFSET(TTHH!CS10, MATCH(BK104,Tabla4[[#All],[Columna1]],1)-1, 0, 2), OFFSET(TTHH!$CL$10, MATCH(BK104,Tabla4[[#All],[Columna1]],1)-1, 0, 2)),"")</f>
        <v>10.126907908802819</v>
      </c>
      <c r="BS130" s="32">
        <f ca="1">IFERROR(FORECAST(BK104, OFFSET(TTHH!CT10, MATCH(BK104,Tabla4[[#All],[Columna1]],1)-1, 0, 2), OFFSET(TTHH!$CL$10, MATCH(BK104,Tabla4[[#All],[Columna1]],1)-1, 0, 2)),"")</f>
        <v>10.795926327042256</v>
      </c>
      <c r="BT130" s="32">
        <f ca="1">IFERROR(FORECAST(BK104, OFFSET(TTHH!CU10, MATCH(BK104,Tabla4[[#All],[Columna1]],1)-1, 0, 2), OFFSET(TTHH!$CL$10, MATCH(BK104,Tabla4[[#All],[Columna1]],1)-1, 0, 2)),"")</f>
        <v>10.939293427147888</v>
      </c>
    </row>
    <row r="131" spans="5:95" x14ac:dyDescent="0.3">
      <c r="E131" s="29" t="s">
        <v>549</v>
      </c>
      <c r="F131" s="32">
        <f ca="1">F128-F129-F130</f>
        <v>-1.3896190926975112</v>
      </c>
      <c r="G131" s="32">
        <f t="shared" ref="G131:O131" ca="1" si="53">G128-G129-G130</f>
        <v>-1.0292131843176788</v>
      </c>
      <c r="H131" s="32">
        <f t="shared" ca="1" si="53"/>
        <v>-0.64123797669064597</v>
      </c>
      <c r="I131" s="32">
        <f t="shared" ca="1" si="53"/>
        <v>-0.47672284852895364</v>
      </c>
      <c r="J131" s="32">
        <f t="shared" ca="1" si="53"/>
        <v>0.25200771933650179</v>
      </c>
      <c r="K131" s="32">
        <f t="shared" ca="1" si="53"/>
        <v>0.98424418493625487</v>
      </c>
      <c r="L131" s="32">
        <f t="shared" ca="1" si="53"/>
        <v>1.6185309717952185</v>
      </c>
      <c r="M131" s="32">
        <f t="shared" ca="1" si="53"/>
        <v>1.8838977399982086</v>
      </c>
      <c r="N131" s="32">
        <f t="shared" ca="1" si="53"/>
        <v>1.7920724150119778</v>
      </c>
      <c r="O131" s="32">
        <f t="shared" ca="1" si="53"/>
        <v>1.3120971910654509</v>
      </c>
      <c r="X131" s="29" t="s">
        <v>549</v>
      </c>
      <c r="Y131" s="32">
        <f ca="1">Y128-Y129-Y130</f>
        <v>-1.0438164292438874</v>
      </c>
      <c r="Z131" s="32">
        <f t="shared" ref="Z131:AH131" ca="1" si="54">Z128-Z129-Z130</f>
        <v>-0.65625586385882595</v>
      </c>
      <c r="AA131" s="32">
        <f t="shared" ca="1" si="54"/>
        <v>-0.24464417655002801</v>
      </c>
      <c r="AB131" s="32">
        <f t="shared" ca="1" si="54"/>
        <v>-7.1716519859263528E-2</v>
      </c>
      <c r="AC131" s="32">
        <f t="shared" ca="1" si="54"/>
        <v>0.67137118677941587</v>
      </c>
      <c r="AD131" s="32">
        <f t="shared" ca="1" si="54"/>
        <v>1.3406155703890086</v>
      </c>
      <c r="AE131" s="32">
        <f t="shared" ca="1" si="54"/>
        <v>1.9616209098189474</v>
      </c>
      <c r="AF131" s="32">
        <f t="shared" ca="1" si="54"/>
        <v>2.2296676324168585</v>
      </c>
      <c r="AG131" s="32">
        <f t="shared" ca="1" si="54"/>
        <v>2.1498436689331664</v>
      </c>
      <c r="AH131" s="32">
        <f t="shared" ca="1" si="54"/>
        <v>1.6731604603355525</v>
      </c>
      <c r="AQ131" s="29" t="s">
        <v>549</v>
      </c>
      <c r="AR131" s="32">
        <f ca="1">AR128-AR129-AR130</f>
        <v>-0.21529474146660835</v>
      </c>
      <c r="AS131" s="32">
        <f t="shared" ref="AS131:BA131" ca="1" si="55">AS128-AS129-AS130</f>
        <v>0.16315201407088076</v>
      </c>
      <c r="AT131" s="32">
        <f t="shared" ca="1" si="55"/>
        <v>0.56011818932473645</v>
      </c>
      <c r="AU131" s="32">
        <f t="shared" ca="1" si="55"/>
        <v>0.7244798189675361</v>
      </c>
      <c r="AV131" s="32">
        <f t="shared" ca="1" si="55"/>
        <v>1.3699942337310311</v>
      </c>
      <c r="AW131" s="32">
        <f t="shared" ca="1" si="55"/>
        <v>1.8762904767736799</v>
      </c>
      <c r="AX131" s="32">
        <f t="shared" ca="1" si="55"/>
        <v>2.3414488157123539</v>
      </c>
      <c r="AY131" s="32">
        <f t="shared" ca="1" si="55"/>
        <v>2.4991171481823615</v>
      </c>
      <c r="AZ131" s="32">
        <f t="shared" ca="1" si="55"/>
        <v>2.3368745213959747</v>
      </c>
      <c r="BA131" s="32">
        <f t="shared" ca="1" si="55"/>
        <v>1.7340885875007603</v>
      </c>
      <c r="BJ131" s="29" t="s">
        <v>548</v>
      </c>
      <c r="BK131" s="32">
        <f ca="1">$M$12*SIN(RADIANS(BK129))</f>
        <v>0</v>
      </c>
      <c r="BL131" s="32">
        <f ca="1">$BT$12*SIN(RADIANS(BL129))</f>
        <v>0.83613485915492114</v>
      </c>
      <c r="BM131" s="32">
        <f t="shared" ref="BM131:BT131" ca="1" si="56">$BT$12*SIN(RADIANS(BM129))</f>
        <v>1.6659062271596417</v>
      </c>
      <c r="BN131" s="32">
        <f t="shared" ca="1" si="56"/>
        <v>1.9946156941361133</v>
      </c>
      <c r="BO131" s="32">
        <f t="shared" ca="1" si="56"/>
        <v>3.2811947365962637</v>
      </c>
      <c r="BP131" s="32">
        <f t="shared" ca="1" si="56"/>
        <v>4.7967858043260581</v>
      </c>
      <c r="BQ131" s="32">
        <f t="shared" ca="1" si="56"/>
        <v>6.1666289626821422</v>
      </c>
      <c r="BR131" s="32">
        <f t="shared" ca="1" si="56"/>
        <v>7.3491022204719494</v>
      </c>
      <c r="BS131" s="32">
        <f t="shared" ca="1" si="56"/>
        <v>8.3082767261178763</v>
      </c>
      <c r="BT131" s="32">
        <f t="shared" ca="1" si="56"/>
        <v>9.2666785831506431</v>
      </c>
    </row>
    <row r="132" spans="5:95" x14ac:dyDescent="0.3">
      <c r="BJ132" s="29" t="s">
        <v>551</v>
      </c>
      <c r="BK132" s="32">
        <f ca="1">ABS($BY$112)*COS(RADIANS(BK129))</f>
        <v>1.3610785530327565</v>
      </c>
      <c r="BL132" s="32">
        <f t="shared" ref="BL132:BT132" ca="1" si="57">ABS($BY$112)*COS(RADIANS(BL129))</f>
        <v>1.3558992382176167</v>
      </c>
      <c r="BM132" s="32">
        <f t="shared" ca="1" si="57"/>
        <v>1.3404007114852963</v>
      </c>
      <c r="BN132" s="32">
        <f t="shared" ca="1" si="57"/>
        <v>1.3313357210592307</v>
      </c>
      <c r="BO132" s="32">
        <f t="shared" ca="1" si="57"/>
        <v>1.2789954725948429</v>
      </c>
      <c r="BP132" s="32">
        <f t="shared" ca="1" si="57"/>
        <v>1.1787286034725326</v>
      </c>
      <c r="BQ132" s="32">
        <f t="shared" ca="1" si="57"/>
        <v>1.0426466621991624</v>
      </c>
      <c r="BR132" s="32">
        <f t="shared" ca="1" si="57"/>
        <v>0.87488442969953928</v>
      </c>
      <c r="BS132" s="32">
        <f t="shared" ca="1" si="57"/>
        <v>0.68053927651637836</v>
      </c>
      <c r="BT132" s="32">
        <f t="shared" ca="1" si="57"/>
        <v>0.35227305140545867</v>
      </c>
      <c r="CE132" s="29" t="s">
        <v>547</v>
      </c>
      <c r="CF132" s="29">
        <v>0</v>
      </c>
      <c r="CG132" s="29">
        <v>5</v>
      </c>
      <c r="CH132" s="29">
        <v>10</v>
      </c>
      <c r="CI132" s="29">
        <v>12</v>
      </c>
      <c r="CJ132" s="29">
        <v>20</v>
      </c>
      <c r="CK132" s="29">
        <v>30</v>
      </c>
      <c r="CL132" s="29">
        <v>40</v>
      </c>
      <c r="CM132" s="29">
        <v>50</v>
      </c>
      <c r="CN132" s="29">
        <v>60</v>
      </c>
      <c r="CO132" s="29">
        <v>75</v>
      </c>
    </row>
    <row r="133" spans="5:95" x14ac:dyDescent="0.3">
      <c r="E133" s="29" t="s">
        <v>547</v>
      </c>
      <c r="F133" s="29" t="s">
        <v>549</v>
      </c>
      <c r="G133" s="29" t="s">
        <v>552</v>
      </c>
      <c r="H133" s="29" t="s">
        <v>553</v>
      </c>
      <c r="X133" s="29" t="s">
        <v>547</v>
      </c>
      <c r="Y133" s="29" t="s">
        <v>549</v>
      </c>
      <c r="Z133" s="29" t="s">
        <v>552</v>
      </c>
      <c r="AA133" s="29" t="s">
        <v>553</v>
      </c>
      <c r="AQ133" s="29" t="s">
        <v>547</v>
      </c>
      <c r="AR133" s="29" t="s">
        <v>549</v>
      </c>
      <c r="AS133" s="29" t="s">
        <v>552</v>
      </c>
      <c r="AT133" s="29" t="s">
        <v>553</v>
      </c>
      <c r="BJ133" s="29" t="s">
        <v>549</v>
      </c>
      <c r="BK133" s="32">
        <f ca="1">BK130-BK131-BK132</f>
        <v>-1.3610785530327565</v>
      </c>
      <c r="BL133" s="32">
        <f t="shared" ref="BL133:BT133" ca="1" si="58">BL130-BL131-BL132</f>
        <v>-1.0007038337457772</v>
      </c>
      <c r="BM133" s="32">
        <f t="shared" ca="1" si="58"/>
        <v>-0.61297667501817776</v>
      </c>
      <c r="BN133" s="32">
        <f t="shared" ca="1" si="58"/>
        <v>-0.44862115156858384</v>
      </c>
      <c r="BO133" s="32">
        <f t="shared" ca="1" si="58"/>
        <v>0.27913084531593579</v>
      </c>
      <c r="BP133" s="32">
        <f t="shared" ca="1" si="58"/>
        <v>1.0094027101239453</v>
      </c>
      <c r="BQ133" s="32">
        <f t="shared" ca="1" si="58"/>
        <v>1.640962547548271</v>
      </c>
      <c r="BR133" s="32">
        <f t="shared" ca="1" si="58"/>
        <v>1.9029212586313302</v>
      </c>
      <c r="BS133" s="32">
        <f t="shared" ca="1" si="58"/>
        <v>1.8071103244080016</v>
      </c>
      <c r="BT133" s="32">
        <f t="shared" ca="1" si="58"/>
        <v>1.3203417925917862</v>
      </c>
      <c r="CE133" s="29" t="s">
        <v>390</v>
      </c>
      <c r="CF133" s="32">
        <v>0</v>
      </c>
      <c r="CG133" s="32">
        <f ca="1">IFERROR(FORECAST(CQ108, OFFSET(TTHH!$CM$10, MATCH(CQ108,Tabla4[[#All],[Columna1]],1)-1, 0, 2), OFFSET(TTHH!$CL$10, MATCH(CQ108,Tabla4[[#All],[Columna1]],1)-1, 0, 2)),"")</f>
        <v>1.1913303780633804</v>
      </c>
      <c r="CH133" s="32">
        <f ca="1">IFERROR(FORECAST(CQ108, OFFSET(TTHH!CN10, MATCH(CQ108,Tabla4[[#All],[Columna1]],1)-1, 0, 2), OFFSET(TTHH!CL10, MATCH(CQ108,Tabla4[[#All],[Columna1]],1)-1, 0, 2)),"")</f>
        <v>2.3933303780633799</v>
      </c>
      <c r="CI133" s="32">
        <f ca="1">IFERROR(FORECAST(CQ108, OFFSET(TTHH!CO10, MATCH(CQ108,Tabla4[[#All],[Columna1]],1)-1, 0, 2), OFFSET(TTHH!CL10, MATCH(CQ108,Tabla4[[#All],[Columna1]],1)-1, 0, 2)),"")</f>
        <v>2.8773303780633799</v>
      </c>
      <c r="CJ133" s="32">
        <f ca="1">IFERROR(FORECAST(CQ108, OFFSET(TTHH!CP10, MATCH(CQ108,Tabla4[[#All],[Columna1]],1)-1, 0, 2), OFFSET(TTHH!$CL$10, MATCH(CQ108,Tabla4[[#All],[Columna1]],1)-1, 0, 2)),"")</f>
        <v>4.8393215122535214</v>
      </c>
      <c r="CK133" s="32">
        <f ca="1">IFERROR(FORECAST(CQ108, OFFSET(TTHH!CQ10, MATCH(CQ108,Tabla4[[#All],[Columna1]],1)-1, 0, 2), OFFSET(TTHH!$CL$10, MATCH(CQ108,Tabla4[[#All],[Columna1]],1)-1, 0, 2)),"")</f>
        <v>6.9849202077112693</v>
      </c>
      <c r="CL133" s="32">
        <f ca="1">IFERROR(FORECAST(CQ108, OFFSET(TTHH!CR10, MATCH(CQ108,Tabla4[[#All],[Columna1]],1)-1, 0, 2), OFFSET(TTHH!$CL$10, MATCH(CQ108,Tabla4[[#All],[Columna1]],1)-1, 0, 2)),"")</f>
        <v>8.8502417199647887</v>
      </c>
      <c r="CM133" s="32">
        <f ca="1">IFERROR(FORECAST(CQ108, OFFSET(TTHH!CS10, MATCH(CQ108,Tabla4[[#All],[Columna1]],1)-1, 0, 2), OFFSET(TTHH!$CL$10, MATCH(CQ108,Tabla4[[#All],[Columna1]],1)-1, 0, 2)),"")</f>
        <v>10.126911341901412</v>
      </c>
      <c r="CN133" s="32">
        <f ca="1">IFERROR(FORECAST(CQ108, OFFSET(TTHH!CT10, MATCH(CQ108,Tabla4[[#All],[Columna1]],1)-1, 0, 2), OFFSET(TTHH!$CL$10, MATCH(CQ108,Tabla4[[#All],[Columna1]],1)-1, 0, 2)),"")</f>
        <v>10.79592907352113</v>
      </c>
      <c r="CO133" s="32">
        <f ca="1">IFERROR(FORECAST(CQ108, OFFSET(TTHH!CU10, MATCH(CQ108,Tabla4[[#All],[Columna1]],1)-1, 0, 2), OFFSET(TTHH!$CL$10, MATCH(CQ108,Tabla4[[#All],[Columna1]],1)-1, 0, 2)),"")</f>
        <v>10.939294914823945</v>
      </c>
    </row>
    <row r="134" spans="5:95" x14ac:dyDescent="0.3">
      <c r="E134" s="29">
        <v>0</v>
      </c>
      <c r="F134" s="32">
        <f ca="1">LOOKUP(E134,$F$127:$O$127,$F$131:$O$131)</f>
        <v>-1.3896190926975112</v>
      </c>
      <c r="G134" s="30">
        <v>1</v>
      </c>
      <c r="H134" s="32">
        <f ca="1">F134*G134</f>
        <v>-1.3896190926975112</v>
      </c>
      <c r="X134" s="29">
        <v>0</v>
      </c>
      <c r="Y134" s="32">
        <f ca="1">LOOKUP(X134,$Y$127:$AH$127,$Y$131:$AH$131)</f>
        <v>-1.0438164292438874</v>
      </c>
      <c r="Z134" s="30">
        <v>1</v>
      </c>
      <c r="AA134" s="32">
        <f ca="1">Y134*Z134</f>
        <v>-1.0438164292438874</v>
      </c>
      <c r="AQ134" s="29">
        <v>0</v>
      </c>
      <c r="AR134" s="32">
        <f ca="1">LOOKUP(AQ134,$AR$127:$BA$127,$AR$131:$BA$131)</f>
        <v>-0.21529474146660835</v>
      </c>
      <c r="AS134" s="30">
        <v>1</v>
      </c>
      <c r="AT134" s="32">
        <f ca="1">AR134*AS134</f>
        <v>-0.21529474146660835</v>
      </c>
      <c r="CE134" s="29" t="s">
        <v>548</v>
      </c>
      <c r="CF134" s="32">
        <f ca="1">$M$12*SIN(RADIANS(CF132))</f>
        <v>0</v>
      </c>
      <c r="CG134" s="32">
        <f ca="1">$CF$12*SIN(RADIANS(CG132))</f>
        <v>0.83573845411608449</v>
      </c>
      <c r="CH134" s="32">
        <f t="shared" ref="CH134:CO134" ca="1" si="59">$CF$12*SIN(RADIANS(CH132))</f>
        <v>1.6651164339636699</v>
      </c>
      <c r="CI134" s="32">
        <f t="shared" ca="1" si="59"/>
        <v>1.9936700623363612</v>
      </c>
      <c r="CJ134" s="32">
        <f t="shared" ca="1" si="59"/>
        <v>3.2796391476709248</v>
      </c>
      <c r="CK134" s="32">
        <f t="shared" ca="1" si="59"/>
        <v>4.7945116854536831</v>
      </c>
      <c r="CL134" s="32">
        <f t="shared" ca="1" si="59"/>
        <v>6.1637054118139085</v>
      </c>
      <c r="CM134" s="32">
        <f t="shared" ca="1" si="59"/>
        <v>7.3456180682215999</v>
      </c>
      <c r="CN134" s="32">
        <f t="shared" ca="1" si="59"/>
        <v>8.3043378366884717</v>
      </c>
      <c r="CO134" s="32">
        <f t="shared" ca="1" si="59"/>
        <v>9.2622853228488857</v>
      </c>
    </row>
    <row r="135" spans="5:95" x14ac:dyDescent="0.3">
      <c r="E135" s="29">
        <v>5</v>
      </c>
      <c r="F135" s="32">
        <f t="shared" ref="F135:F143" ca="1" si="60">LOOKUP(E135,$F$127:$O$127,$F$131:$O$131)</f>
        <v>-1.0292131843176788</v>
      </c>
      <c r="G135" s="30">
        <v>4</v>
      </c>
      <c r="H135" s="32">
        <f t="shared" ref="H135:H143" ca="1" si="61">F135*G135</f>
        <v>-4.1168527372707153</v>
      </c>
      <c r="X135" s="29">
        <v>5</v>
      </c>
      <c r="Y135" s="32">
        <f t="shared" ref="Y135:Y143" ca="1" si="62">LOOKUP(X135,$Y$127:$AH$127,$Y$131:$AH$131)</f>
        <v>-0.65625586385882595</v>
      </c>
      <c r="Z135" s="30">
        <v>4</v>
      </c>
      <c r="AA135" s="32">
        <f t="shared" ref="AA135:AA143" ca="1" si="63">Y135*Z135</f>
        <v>-2.6250234554353038</v>
      </c>
      <c r="AQ135" s="29">
        <v>5</v>
      </c>
      <c r="AR135" s="32">
        <f t="shared" ref="AR135:AR143" ca="1" si="64">LOOKUP(AQ135,$AR$127:$BA$127,$AR$131:$BA$131)</f>
        <v>0.16315201407088076</v>
      </c>
      <c r="AS135" s="30">
        <v>4</v>
      </c>
      <c r="AT135" s="32">
        <f t="shared" ref="AT135:AT143" ca="1" si="65">AR135*AS135</f>
        <v>0.65260805628352303</v>
      </c>
      <c r="BJ135" s="29" t="s">
        <v>547</v>
      </c>
      <c r="BK135" s="29" t="s">
        <v>549</v>
      </c>
      <c r="BL135" s="29" t="s">
        <v>552</v>
      </c>
      <c r="BM135" s="29" t="s">
        <v>553</v>
      </c>
      <c r="CE135" s="29" t="s">
        <v>551</v>
      </c>
      <c r="CF135" s="32">
        <f ca="1">ABS($CF$14)*COS(RADIANS(CF132))</f>
        <v>1.3325361435216228</v>
      </c>
      <c r="CG135" s="32">
        <f ca="1">ABS($CF$14)*COS(RADIANS(CG132))</f>
        <v>1.3274654411918618</v>
      </c>
      <c r="CH135" s="32">
        <f t="shared" ref="CH135:CO135" ca="1" si="66">ABS($CF$14)*COS(RADIANS(CH132))</f>
        <v>1.3122919253090823</v>
      </c>
      <c r="CI135" s="32">
        <f t="shared" ca="1" si="66"/>
        <v>1.3034170316767535</v>
      </c>
      <c r="CJ135" s="32">
        <f t="shared" ca="1" si="66"/>
        <v>1.252174380997781</v>
      </c>
      <c r="CK135" s="32">
        <f t="shared" ca="1" si="66"/>
        <v>1.154010151750672</v>
      </c>
      <c r="CL135" s="32">
        <f t="shared" ca="1" si="66"/>
        <v>1.0207819079999321</v>
      </c>
      <c r="CM135" s="32">
        <f t="shared" ca="1" si="66"/>
        <v>0.85653772251518323</v>
      </c>
      <c r="CN135" s="32">
        <f t="shared" ca="1" si="66"/>
        <v>0.66626807176081149</v>
      </c>
      <c r="CO135" s="32">
        <f t="shared" ca="1" si="66"/>
        <v>0.34488573223086194</v>
      </c>
    </row>
    <row r="136" spans="5:95" x14ac:dyDescent="0.3">
      <c r="E136" s="29">
        <v>10</v>
      </c>
      <c r="F136" s="32">
        <f t="shared" ca="1" si="60"/>
        <v>-0.64123797669064597</v>
      </c>
      <c r="G136" s="30">
        <v>2</v>
      </c>
      <c r="H136" s="32">
        <f t="shared" ca="1" si="61"/>
        <v>-1.2824759533812919</v>
      </c>
      <c r="X136" s="29">
        <v>10</v>
      </c>
      <c r="Y136" s="32">
        <f t="shared" ca="1" si="62"/>
        <v>-0.24464417655002801</v>
      </c>
      <c r="Z136" s="30">
        <v>2</v>
      </c>
      <c r="AA136" s="32">
        <f t="shared" ca="1" si="63"/>
        <v>-0.48928835310005603</v>
      </c>
      <c r="AQ136" s="29">
        <v>10</v>
      </c>
      <c r="AR136" s="32">
        <f t="shared" ca="1" si="64"/>
        <v>0.56011818932473645</v>
      </c>
      <c r="AS136" s="30">
        <v>2</v>
      </c>
      <c r="AT136" s="32">
        <f t="shared" ca="1" si="65"/>
        <v>1.1202363786494729</v>
      </c>
      <c r="BJ136" s="29">
        <v>0</v>
      </c>
      <c r="BK136" s="32">
        <f ca="1">LOOKUP(BJ136,$BK$129:$BT$129,$BK$133:$BT$133)</f>
        <v>-1.3610785530327565</v>
      </c>
      <c r="BL136" s="30">
        <v>1</v>
      </c>
      <c r="BM136" s="32">
        <f ca="1">BK136*BL136</f>
        <v>-1.3610785530327565</v>
      </c>
      <c r="CE136" s="29" t="s">
        <v>549</v>
      </c>
      <c r="CF136" s="32">
        <f ca="1">CF133-CF134-CF135</f>
        <v>-1.3325361435216228</v>
      </c>
      <c r="CG136" s="32">
        <f t="shared" ref="CG136:CO136" ca="1" si="67">CG133-CG134-CG135</f>
        <v>-0.97187351724456594</v>
      </c>
      <c r="CH136" s="32">
        <f t="shared" ca="1" si="67"/>
        <v>-0.58407798120937238</v>
      </c>
      <c r="CI136" s="32">
        <f t="shared" ca="1" si="67"/>
        <v>-0.41975671594973485</v>
      </c>
      <c r="CJ136" s="32">
        <f t="shared" ca="1" si="67"/>
        <v>0.30750798358481557</v>
      </c>
      <c r="CK136" s="32">
        <f t="shared" ca="1" si="67"/>
        <v>1.0363983705069142</v>
      </c>
      <c r="CL136" s="32">
        <f t="shared" ca="1" si="67"/>
        <v>1.6657544001509481</v>
      </c>
      <c r="CM136" s="32">
        <f t="shared" ca="1" si="67"/>
        <v>1.9247555511646288</v>
      </c>
      <c r="CN136" s="32">
        <f t="shared" ca="1" si="67"/>
        <v>1.8253231650718464</v>
      </c>
      <c r="CO136" s="32">
        <f t="shared" ca="1" si="67"/>
        <v>1.3321238597441973</v>
      </c>
    </row>
    <row r="137" spans="5:95" x14ac:dyDescent="0.3">
      <c r="E137" s="29">
        <v>12</v>
      </c>
      <c r="F137" s="32">
        <f t="shared" ca="1" si="60"/>
        <v>-0.47672284852895364</v>
      </c>
      <c r="G137" s="30">
        <v>4</v>
      </c>
      <c r="H137" s="32">
        <f t="shared" ca="1" si="61"/>
        <v>-1.9068913941158145</v>
      </c>
      <c r="X137" s="29">
        <v>12</v>
      </c>
      <c r="Y137" s="32">
        <f t="shared" ca="1" si="62"/>
        <v>-7.1716519859263528E-2</v>
      </c>
      <c r="Z137" s="30">
        <v>4</v>
      </c>
      <c r="AA137" s="32">
        <f t="shared" ca="1" si="63"/>
        <v>-0.28686607943705411</v>
      </c>
      <c r="AQ137" s="29">
        <v>12</v>
      </c>
      <c r="AR137" s="32">
        <f t="shared" ca="1" si="64"/>
        <v>0.7244798189675361</v>
      </c>
      <c r="AS137" s="30">
        <v>4</v>
      </c>
      <c r="AT137" s="32">
        <f t="shared" ca="1" si="65"/>
        <v>2.8979192758701444</v>
      </c>
      <c r="BJ137" s="29">
        <v>5</v>
      </c>
      <c r="BK137" s="32">
        <f t="shared" ref="BK137:BK145" ca="1" si="68">LOOKUP(BJ137,$BK$129:$BT$129,$BK$133:$BT$133)</f>
        <v>-1.0007038337457772</v>
      </c>
      <c r="BL137" s="30">
        <v>4</v>
      </c>
      <c r="BM137" s="32">
        <f t="shared" ref="BM137:BM145" ca="1" si="69">BK137*BL137</f>
        <v>-4.0028153349831088</v>
      </c>
    </row>
    <row r="138" spans="5:95" x14ac:dyDescent="0.3">
      <c r="E138" s="29">
        <v>20</v>
      </c>
      <c r="F138" s="32">
        <f t="shared" ca="1" si="60"/>
        <v>0.25200771933650179</v>
      </c>
      <c r="G138" s="30">
        <v>2</v>
      </c>
      <c r="H138" s="32">
        <f t="shared" ca="1" si="61"/>
        <v>0.50401543867300358</v>
      </c>
      <c r="X138" s="29">
        <v>20</v>
      </c>
      <c r="Y138" s="32">
        <f t="shared" ca="1" si="62"/>
        <v>0.67137118677941587</v>
      </c>
      <c r="Z138" s="30">
        <v>2</v>
      </c>
      <c r="AA138" s="32">
        <f t="shared" ca="1" si="63"/>
        <v>1.3427423735588317</v>
      </c>
      <c r="AQ138" s="29">
        <v>20</v>
      </c>
      <c r="AR138" s="32">
        <f t="shared" ca="1" si="64"/>
        <v>1.3699942337310311</v>
      </c>
      <c r="AS138" s="30">
        <v>2</v>
      </c>
      <c r="AT138" s="32">
        <f t="shared" ca="1" si="65"/>
        <v>2.7399884674620623</v>
      </c>
      <c r="BJ138" s="29">
        <v>10</v>
      </c>
      <c r="BK138" s="32">
        <f t="shared" ca="1" si="68"/>
        <v>-0.61297667501817776</v>
      </c>
      <c r="BL138" s="30">
        <v>2</v>
      </c>
      <c r="BM138" s="32">
        <f t="shared" ca="1" si="69"/>
        <v>-1.2259533500363555</v>
      </c>
      <c r="CE138" s="29" t="s">
        <v>547</v>
      </c>
      <c r="CF138" s="29" t="s">
        <v>549</v>
      </c>
      <c r="CG138" s="29" t="s">
        <v>552</v>
      </c>
      <c r="CH138" s="29" t="s">
        <v>553</v>
      </c>
    </row>
    <row r="139" spans="5:95" x14ac:dyDescent="0.3">
      <c r="E139" s="29">
        <v>30</v>
      </c>
      <c r="F139" s="32">
        <f t="shared" ca="1" si="60"/>
        <v>0.98424418493625487</v>
      </c>
      <c r="G139" s="30">
        <v>4</v>
      </c>
      <c r="H139" s="32">
        <f t="shared" ca="1" si="61"/>
        <v>3.9369767397450195</v>
      </c>
      <c r="X139" s="29">
        <v>30</v>
      </c>
      <c r="Y139" s="32">
        <f t="shared" ca="1" si="62"/>
        <v>1.3406155703890086</v>
      </c>
      <c r="Z139" s="30">
        <v>4</v>
      </c>
      <c r="AA139" s="32">
        <f t="shared" ca="1" si="63"/>
        <v>5.3624622815560343</v>
      </c>
      <c r="AQ139" s="29">
        <v>30</v>
      </c>
      <c r="AR139" s="32">
        <f t="shared" ca="1" si="64"/>
        <v>1.8762904767736799</v>
      </c>
      <c r="AS139" s="30">
        <v>4</v>
      </c>
      <c r="AT139" s="32">
        <f t="shared" ca="1" si="65"/>
        <v>7.5051619070947195</v>
      </c>
      <c r="BJ139" s="29">
        <v>12</v>
      </c>
      <c r="BK139" s="32">
        <f t="shared" ca="1" si="68"/>
        <v>-0.44862115156858384</v>
      </c>
      <c r="BL139" s="30">
        <v>4</v>
      </c>
      <c r="BM139" s="32">
        <f t="shared" ca="1" si="69"/>
        <v>-1.7944846062743354</v>
      </c>
      <c r="CE139" s="29">
        <v>0</v>
      </c>
      <c r="CF139" s="32">
        <f ca="1">LOOKUP(CE139,$CF$132:$CO$132,$CF$136:$CO$136)</f>
        <v>-1.3325361435216228</v>
      </c>
      <c r="CG139" s="30">
        <v>1</v>
      </c>
      <c r="CH139" s="32">
        <f ca="1">CF139*CG139</f>
        <v>-1.3325361435216228</v>
      </c>
    </row>
    <row r="140" spans="5:95" x14ac:dyDescent="0.3">
      <c r="E140" s="29">
        <v>40</v>
      </c>
      <c r="F140" s="32">
        <f t="shared" ca="1" si="60"/>
        <v>1.6185309717952185</v>
      </c>
      <c r="G140" s="30">
        <v>1</v>
      </c>
      <c r="H140" s="32">
        <f t="shared" ca="1" si="61"/>
        <v>1.6185309717952185</v>
      </c>
      <c r="X140" s="29">
        <v>40</v>
      </c>
      <c r="Y140" s="32">
        <f t="shared" ca="1" si="62"/>
        <v>1.9616209098189474</v>
      </c>
      <c r="Z140" s="30">
        <v>1</v>
      </c>
      <c r="AA140" s="32">
        <f t="shared" ca="1" si="63"/>
        <v>1.9616209098189474</v>
      </c>
      <c r="AQ140" s="29">
        <v>40</v>
      </c>
      <c r="AR140" s="32">
        <f t="shared" ca="1" si="64"/>
        <v>2.3414488157123539</v>
      </c>
      <c r="AS140" s="30">
        <v>1</v>
      </c>
      <c r="AT140" s="32">
        <f t="shared" ca="1" si="65"/>
        <v>2.3414488157123539</v>
      </c>
      <c r="BJ140" s="29">
        <v>20</v>
      </c>
      <c r="BK140" s="32">
        <f t="shared" ca="1" si="68"/>
        <v>0.27913084531593579</v>
      </c>
      <c r="BL140" s="30">
        <v>2</v>
      </c>
      <c r="BM140" s="32">
        <f t="shared" ca="1" si="69"/>
        <v>0.55826169063187159</v>
      </c>
      <c r="CE140" s="29">
        <v>5</v>
      </c>
      <c r="CF140" s="32">
        <f t="shared" ref="CF140:CF148" ca="1" si="70">LOOKUP(CE140,$CF$132:$CO$132,$CF$136:$CO$136)</f>
        <v>-0.97187351724456594</v>
      </c>
      <c r="CG140" s="30">
        <v>4</v>
      </c>
      <c r="CH140" s="32">
        <f t="shared" ref="CH140:CH148" ca="1" si="71">CF140*CG140</f>
        <v>-3.8874940689782638</v>
      </c>
    </row>
    <row r="141" spans="5:95" x14ac:dyDescent="0.3">
      <c r="E141" s="29">
        <v>50</v>
      </c>
      <c r="F141" s="32">
        <f t="shared" ca="1" si="60"/>
        <v>1.8838977399982086</v>
      </c>
      <c r="G141" s="30">
        <v>1</v>
      </c>
      <c r="H141" s="32">
        <f t="shared" ca="1" si="61"/>
        <v>1.8838977399982086</v>
      </c>
      <c r="X141" s="29">
        <v>50</v>
      </c>
      <c r="Y141" s="32">
        <f t="shared" ca="1" si="62"/>
        <v>2.2296676324168585</v>
      </c>
      <c r="Z141" s="30">
        <v>1</v>
      </c>
      <c r="AA141" s="32">
        <f t="shared" ca="1" si="63"/>
        <v>2.2296676324168585</v>
      </c>
      <c r="AQ141" s="29">
        <v>50</v>
      </c>
      <c r="AR141" s="32">
        <f t="shared" ca="1" si="64"/>
        <v>2.4991171481823615</v>
      </c>
      <c r="AS141" s="30">
        <v>1</v>
      </c>
      <c r="AT141" s="32">
        <f t="shared" ca="1" si="65"/>
        <v>2.4991171481823615</v>
      </c>
      <c r="BJ141" s="29">
        <v>30</v>
      </c>
      <c r="BK141" s="32">
        <f t="shared" ca="1" si="68"/>
        <v>1.0094027101239453</v>
      </c>
      <c r="BL141" s="30">
        <v>4</v>
      </c>
      <c r="BM141" s="32">
        <f t="shared" ca="1" si="69"/>
        <v>4.0376108404957813</v>
      </c>
      <c r="CE141" s="29">
        <v>10</v>
      </c>
      <c r="CF141" s="32">
        <f t="shared" ca="1" si="70"/>
        <v>-0.58407798120937238</v>
      </c>
      <c r="CG141" s="30">
        <v>2</v>
      </c>
      <c r="CH141" s="32">
        <f t="shared" ca="1" si="71"/>
        <v>-1.1681559624187448</v>
      </c>
    </row>
    <row r="142" spans="5:95" x14ac:dyDescent="0.3">
      <c r="E142" s="29">
        <v>60</v>
      </c>
      <c r="F142" s="32">
        <f t="shared" ca="1" si="60"/>
        <v>1.7920724150119778</v>
      </c>
      <c r="G142" s="30">
        <v>4</v>
      </c>
      <c r="H142" s="32">
        <f t="shared" ca="1" si="61"/>
        <v>7.1682896600479111</v>
      </c>
      <c r="X142" s="29">
        <v>60</v>
      </c>
      <c r="Y142" s="32">
        <f t="shared" ca="1" si="62"/>
        <v>2.1498436689331664</v>
      </c>
      <c r="Z142" s="30">
        <v>4</v>
      </c>
      <c r="AA142" s="32">
        <f t="shared" ca="1" si="63"/>
        <v>8.5993746757326655</v>
      </c>
      <c r="AQ142" s="29">
        <v>60</v>
      </c>
      <c r="AR142" s="32">
        <f t="shared" ca="1" si="64"/>
        <v>2.3368745213959747</v>
      </c>
      <c r="AS142" s="30">
        <v>4</v>
      </c>
      <c r="AT142" s="32">
        <f t="shared" ca="1" si="65"/>
        <v>9.3474980855838989</v>
      </c>
      <c r="BJ142" s="29">
        <v>40</v>
      </c>
      <c r="BK142" s="32">
        <f t="shared" ca="1" si="68"/>
        <v>1.640962547548271</v>
      </c>
      <c r="BL142" s="30">
        <v>1</v>
      </c>
      <c r="BM142" s="32">
        <f t="shared" ca="1" si="69"/>
        <v>1.640962547548271</v>
      </c>
      <c r="CE142" s="29">
        <v>12</v>
      </c>
      <c r="CF142" s="32">
        <f t="shared" ca="1" si="70"/>
        <v>-0.41975671594973485</v>
      </c>
      <c r="CG142" s="30">
        <v>4</v>
      </c>
      <c r="CH142" s="32">
        <f t="shared" ca="1" si="71"/>
        <v>-1.6790268637989394</v>
      </c>
    </row>
    <row r="143" spans="5:95" x14ac:dyDescent="0.3">
      <c r="E143" s="29">
        <v>75</v>
      </c>
      <c r="F143" s="32">
        <f t="shared" ca="1" si="60"/>
        <v>1.3120971910654509</v>
      </c>
      <c r="G143" s="30">
        <v>1</v>
      </c>
      <c r="H143" s="32">
        <f t="shared" ca="1" si="61"/>
        <v>1.3120971910654509</v>
      </c>
      <c r="X143" s="29">
        <v>75</v>
      </c>
      <c r="Y143" s="32">
        <f t="shared" ca="1" si="62"/>
        <v>1.6731604603355525</v>
      </c>
      <c r="Z143" s="30">
        <v>1</v>
      </c>
      <c r="AA143" s="32">
        <f t="shared" ca="1" si="63"/>
        <v>1.6731604603355525</v>
      </c>
      <c r="AQ143" s="29">
        <v>75</v>
      </c>
      <c r="AR143" s="32">
        <f t="shared" ca="1" si="64"/>
        <v>1.7340885875007603</v>
      </c>
      <c r="AS143" s="30">
        <v>1</v>
      </c>
      <c r="AT143" s="32">
        <f t="shared" ca="1" si="65"/>
        <v>1.7340885875007603</v>
      </c>
      <c r="BJ143" s="29">
        <v>50</v>
      </c>
      <c r="BK143" s="32">
        <f t="shared" ca="1" si="68"/>
        <v>1.9029212586313302</v>
      </c>
      <c r="BL143" s="30">
        <v>1</v>
      </c>
      <c r="BM143" s="32">
        <f t="shared" ca="1" si="69"/>
        <v>1.9029212586313302</v>
      </c>
      <c r="CE143" s="29">
        <v>20</v>
      </c>
      <c r="CF143" s="32">
        <f t="shared" ca="1" si="70"/>
        <v>0.30750798358481557</v>
      </c>
      <c r="CG143" s="30">
        <v>2</v>
      </c>
      <c r="CH143" s="32">
        <f t="shared" ca="1" si="71"/>
        <v>0.61501596716963114</v>
      </c>
    </row>
    <row r="144" spans="5:95" x14ac:dyDescent="0.3">
      <c r="BJ144" s="29">
        <v>60</v>
      </c>
      <c r="BK144" s="32">
        <f t="shared" ca="1" si="68"/>
        <v>1.8071103244080016</v>
      </c>
      <c r="BL144" s="30">
        <v>4</v>
      </c>
      <c r="BM144" s="32">
        <f t="shared" ca="1" si="69"/>
        <v>7.2284412976320063</v>
      </c>
      <c r="CE144" s="29">
        <v>30</v>
      </c>
      <c r="CF144" s="32">
        <f t="shared" ca="1" si="70"/>
        <v>1.0363983705069142</v>
      </c>
      <c r="CG144" s="30">
        <v>4</v>
      </c>
      <c r="CH144" s="32">
        <f t="shared" ca="1" si="71"/>
        <v>4.1455934820276568</v>
      </c>
    </row>
    <row r="145" spans="5:86" x14ac:dyDescent="0.3">
      <c r="E145" s="29" t="s">
        <v>554</v>
      </c>
      <c r="F145" s="32">
        <f ca="1">(0.0872664626/3)*SUM(H134:H139)</f>
        <v>-0.12376848217036145</v>
      </c>
      <c r="X145" s="29" t="s">
        <v>554</v>
      </c>
      <c r="Y145" s="32">
        <f ca="1">(0.0872664626/3)*SUM(AA134:AA139)</f>
        <v>6.5746853640119479E-2</v>
      </c>
      <c r="AQ145" s="29" t="s">
        <v>554</v>
      </c>
      <c r="AR145" s="32">
        <f ca="1">(0.0872664626/3)*SUM(AT134:AT139)</f>
        <v>0.42762368272356749</v>
      </c>
      <c r="BJ145" s="29">
        <v>75</v>
      </c>
      <c r="BK145" s="32">
        <f t="shared" ca="1" si="68"/>
        <v>1.3203417925917862</v>
      </c>
      <c r="BL145" s="30">
        <v>1</v>
      </c>
      <c r="BM145" s="32">
        <f t="shared" ca="1" si="69"/>
        <v>1.3203417925917862</v>
      </c>
      <c r="CE145" s="29">
        <v>40</v>
      </c>
      <c r="CF145" s="32">
        <f t="shared" ca="1" si="70"/>
        <v>1.6657544001509481</v>
      </c>
      <c r="CG145" s="30">
        <v>1</v>
      </c>
      <c r="CH145" s="32">
        <f t="shared" ca="1" si="71"/>
        <v>1.6657544001509481</v>
      </c>
    </row>
    <row r="146" spans="5:86" x14ac:dyDescent="0.3">
      <c r="E146" s="29" t="s">
        <v>555</v>
      </c>
      <c r="F146" s="32">
        <f ca="1">(0.0872664626/3)*SUM(H139:H140)</f>
        <v>0.16160316864437926</v>
      </c>
      <c r="X146" s="29" t="s">
        <v>555</v>
      </c>
      <c r="Y146" s="32">
        <f ca="1">(0.0872664626/3)*SUM(AA139:AA140)</f>
        <v>0.21304894396647117</v>
      </c>
      <c r="AQ146" s="29" t="s">
        <v>555</v>
      </c>
      <c r="AR146" s="32">
        <f ca="1">(0.0872664626/3)*SUM(AT139:AT140)</f>
        <v>0.28642629545953413</v>
      </c>
      <c r="CE146" s="29">
        <v>50</v>
      </c>
      <c r="CF146" s="32">
        <f t="shared" ca="1" si="70"/>
        <v>1.9247555511646288</v>
      </c>
      <c r="CG146" s="30">
        <v>1</v>
      </c>
      <c r="CH146" s="32">
        <f t="shared" ca="1" si="71"/>
        <v>1.9247555511646288</v>
      </c>
    </row>
    <row r="147" spans="5:86" x14ac:dyDescent="0.3">
      <c r="E147" s="29" t="s">
        <v>556</v>
      </c>
      <c r="F147" s="32">
        <f ca="1">(0.0872664626/3)*SUM(H134:H140)</f>
        <v>-7.6687324664658427E-2</v>
      </c>
      <c r="X147" s="29" t="s">
        <v>556</v>
      </c>
      <c r="Y147" s="32">
        <f ca="1">(0.0872664626/3)*SUM(AA134:AA140)</f>
        <v>0.12280809289415054</v>
      </c>
      <c r="AQ147" s="29" t="s">
        <v>556</v>
      </c>
      <c r="AR147" s="32">
        <f ca="1">(0.0872664626/3)*SUM(AT134:AT140)</f>
        <v>0.49573366789229301</v>
      </c>
      <c r="BJ147" s="29" t="s">
        <v>554</v>
      </c>
      <c r="BK147" s="32">
        <f ca="1">(0.0872664626/3)*SUM(BM136:BM141)</f>
        <v>-0.11020181432229793</v>
      </c>
      <c r="CE147" s="29">
        <v>60</v>
      </c>
      <c r="CF147" s="32">
        <f t="shared" ca="1" si="70"/>
        <v>1.8253231650718464</v>
      </c>
      <c r="CG147" s="30">
        <v>4</v>
      </c>
      <c r="CH147" s="32">
        <f t="shared" ca="1" si="71"/>
        <v>7.3012926602873858</v>
      </c>
    </row>
    <row r="148" spans="5:86" x14ac:dyDescent="0.3">
      <c r="BJ148" s="29" t="s">
        <v>555</v>
      </c>
      <c r="BK148" s="32">
        <f ca="1">(0.0872664626/3)*SUM(BM141:BM142)</f>
        <v>0.16518300406303385</v>
      </c>
      <c r="CE148" s="29">
        <v>75</v>
      </c>
      <c r="CF148" s="32">
        <f t="shared" ca="1" si="70"/>
        <v>1.3321238597441973</v>
      </c>
      <c r="CG148" s="30">
        <v>1</v>
      </c>
      <c r="CH148" s="32">
        <f t="shared" ca="1" si="71"/>
        <v>1.3321238597441973</v>
      </c>
    </row>
    <row r="149" spans="5:86" x14ac:dyDescent="0.3">
      <c r="BJ149" s="29" t="s">
        <v>556</v>
      </c>
      <c r="BK149" s="32">
        <f ca="1">(0.0872664626/3)*SUM(BM136:BM142)</f>
        <v>-6.2468148727757307E-2</v>
      </c>
    </row>
    <row r="150" spans="5:86" x14ac:dyDescent="0.3">
      <c r="CE150" s="29" t="s">
        <v>554</v>
      </c>
      <c r="CF150" s="32">
        <f ca="1">(0.0872664626/3)*SUM(CH139:CH144)</f>
        <v>-9.6185199492632545E-2</v>
      </c>
    </row>
    <row r="151" spans="5:86" x14ac:dyDescent="0.3">
      <c r="CE151" s="29" t="s">
        <v>555</v>
      </c>
      <c r="CF151" s="32">
        <f ca="1">(0.0872664626/3)*SUM(CH144:CH145)</f>
        <v>0.16904525753857616</v>
      </c>
    </row>
    <row r="152" spans="5:86" x14ac:dyDescent="0.3">
      <c r="CE152" s="29" t="s">
        <v>556</v>
      </c>
      <c r="CF152" s="32">
        <f ca="1">(0.0872664626/3)*SUM(CH139:CH145)</f>
        <v>-4.7730368138779823E-2</v>
      </c>
    </row>
  </sheetData>
  <conditionalFormatting sqref="E109">
    <cfRule type="expression" dxfId="83" priority="157">
      <formula>$K$22="Ocultar"</formula>
    </cfRule>
  </conditionalFormatting>
  <conditionalFormatting sqref="E71:F77">
    <cfRule type="expression" dxfId="82" priority="167">
      <formula>$O$10="Ocultar"</formula>
    </cfRule>
  </conditionalFormatting>
  <conditionalFormatting sqref="E106:F107">
    <cfRule type="expression" dxfId="81" priority="154">
      <formula>$K$22="Ocultar"</formula>
    </cfRule>
  </conditionalFormatting>
  <conditionalFormatting sqref="E119:F121">
    <cfRule type="expression" dxfId="80" priority="146">
      <formula>$O$10="Ocultar"</formula>
    </cfRule>
    <cfRule type="expression" dxfId="79" priority="147">
      <formula>$L$22="Ocultar"</formula>
    </cfRule>
  </conditionalFormatting>
  <conditionalFormatting sqref="E145:F147">
    <cfRule type="expression" dxfId="78" priority="143">
      <formula>$O$10="Ocultar"</formula>
    </cfRule>
  </conditionalFormatting>
  <conditionalFormatting sqref="E111:H112">
    <cfRule type="expression" dxfId="77" priority="156">
      <formula>$K$22="Ocultar"</formula>
    </cfRule>
  </conditionalFormatting>
  <conditionalFormatting sqref="E133:H143">
    <cfRule type="expression" dxfId="76" priority="144">
      <formula>$O$10="Ocultar"</formula>
    </cfRule>
  </conditionalFormatting>
  <conditionalFormatting sqref="E127:O131">
    <cfRule type="expression" dxfId="75" priority="145">
      <formula>$O$10="Ocultar"</formula>
    </cfRule>
  </conditionalFormatting>
  <conditionalFormatting sqref="G109">
    <cfRule type="expression" dxfId="74" priority="160">
      <formula>$K$22="Ocultar"</formula>
    </cfRule>
  </conditionalFormatting>
  <conditionalFormatting sqref="G105:J105 E106:J117">
    <cfRule type="expression" dxfId="73" priority="153">
      <formula>$O$10="Ocultar"</formula>
    </cfRule>
  </conditionalFormatting>
  <conditionalFormatting sqref="H71:I74">
    <cfRule type="expression" dxfId="72" priority="177">
      <formula>$O$10="Ocultar"</formula>
    </cfRule>
  </conditionalFormatting>
  <conditionalFormatting sqref="H106:I109 E114:H114 E115:J115 E116:H116 E117:J117">
    <cfRule type="expression" dxfId="71" priority="162">
      <formula>$K$22="Ocultar"</formula>
    </cfRule>
  </conditionalFormatting>
  <conditionalFormatting sqref="I112:J112">
    <cfRule type="expression" dxfId="70" priority="155">
      <formula>$K$22="Ocultar"</formula>
    </cfRule>
  </conditionalFormatting>
  <conditionalFormatting sqref="J30:J55 H71:I74 E71:F77 E106:J122 E127:O131 E133:H147">
    <cfRule type="expression" dxfId="69" priority="142">
      <formula>$J$8="Ocultar"</formula>
    </cfRule>
  </conditionalFormatting>
  <conditionalFormatting sqref="J30:J55">
    <cfRule type="expression" dxfId="68" priority="151">
      <formula>$O$10="Ocultar"</formula>
    </cfRule>
  </conditionalFormatting>
  <conditionalFormatting sqref="X109">
    <cfRule type="expression" dxfId="67" priority="107">
      <formula>$K$22="Ocultar"</formula>
    </cfRule>
  </conditionalFormatting>
  <conditionalFormatting sqref="X71:Y77">
    <cfRule type="expression" dxfId="66" priority="112">
      <formula>$O$10="Ocultar"</formula>
    </cfRule>
  </conditionalFormatting>
  <conditionalFormatting sqref="X106:Y107">
    <cfRule type="expression" dxfId="65" priority="104">
      <formula>$K$22="Ocultar"</formula>
    </cfRule>
  </conditionalFormatting>
  <conditionalFormatting sqref="X119:Y121">
    <cfRule type="expression" dxfId="64" priority="100">
      <formula>$O$10="Ocultar"</formula>
    </cfRule>
    <cfRule type="expression" dxfId="63" priority="101">
      <formula>$L$22="Ocultar"</formula>
    </cfRule>
  </conditionalFormatting>
  <conditionalFormatting sqref="X145:Y147">
    <cfRule type="expression" dxfId="62" priority="97">
      <formula>$O$10="Ocultar"</formula>
    </cfRule>
  </conditionalFormatting>
  <conditionalFormatting sqref="X111:AA112">
    <cfRule type="expression" dxfId="61" priority="106">
      <formula>$K$22="Ocultar"</formula>
    </cfRule>
  </conditionalFormatting>
  <conditionalFormatting sqref="X133:AA143">
    <cfRule type="expression" dxfId="60" priority="98">
      <formula>$O$10="Ocultar"</formula>
    </cfRule>
  </conditionalFormatting>
  <conditionalFormatting sqref="X127:AH131">
    <cfRule type="expression" dxfId="59" priority="99">
      <formula>$O$10="Ocultar"</formula>
    </cfRule>
  </conditionalFormatting>
  <conditionalFormatting sqref="Z109">
    <cfRule type="expression" dxfId="58" priority="109">
      <formula>$K$22="Ocultar"</formula>
    </cfRule>
  </conditionalFormatting>
  <conditionalFormatting sqref="Z105:AC105 X106:AC117">
    <cfRule type="expression" dxfId="57" priority="103">
      <formula>$O$10="Ocultar"</formula>
    </cfRule>
  </conditionalFormatting>
  <conditionalFormatting sqref="AA71:AB74">
    <cfRule type="expression" dxfId="56" priority="122">
      <formula>$O$10="Ocultar"</formula>
    </cfRule>
  </conditionalFormatting>
  <conditionalFormatting sqref="AA106:AB109 X114:AA114 X115:AC115 X116:AA116 X117:AC117">
    <cfRule type="expression" dxfId="55" priority="111">
      <formula>$K$22="Ocultar"</formula>
    </cfRule>
  </conditionalFormatting>
  <conditionalFormatting sqref="AB112:AC112">
    <cfRule type="expression" dxfId="54" priority="105">
      <formula>$K$22="Ocultar"</formula>
    </cfRule>
  </conditionalFormatting>
  <conditionalFormatting sqref="AC30:AC55 AA71:AB74 X71:Y77 X106:AC122 X127:AH131 X133:AA147">
    <cfRule type="expression" dxfId="53" priority="96">
      <formula>$J$8="Ocultar"</formula>
    </cfRule>
  </conditionalFormatting>
  <conditionalFormatting sqref="AC30:AC55">
    <cfRule type="expression" dxfId="52" priority="102">
      <formula>$O$10="Ocultar"</formula>
    </cfRule>
  </conditionalFormatting>
  <conditionalFormatting sqref="AQ109">
    <cfRule type="expression" dxfId="51" priority="80">
      <formula>$K$22="Ocultar"</formula>
    </cfRule>
  </conditionalFormatting>
  <conditionalFormatting sqref="AQ71:AR77">
    <cfRule type="expression" dxfId="50" priority="85">
      <formula>$O$10="Ocultar"</formula>
    </cfRule>
  </conditionalFormatting>
  <conditionalFormatting sqref="AQ106:AR107">
    <cfRule type="expression" dxfId="49" priority="77">
      <formula>$K$22="Ocultar"</formula>
    </cfRule>
  </conditionalFormatting>
  <conditionalFormatting sqref="AQ119:AR121">
    <cfRule type="expression" dxfId="48" priority="73">
      <formula>$O$10="Ocultar"</formula>
    </cfRule>
    <cfRule type="expression" dxfId="47" priority="74">
      <formula>$L$22="Ocultar"</formula>
    </cfRule>
  </conditionalFormatting>
  <conditionalFormatting sqref="AQ145:AR147">
    <cfRule type="expression" dxfId="46" priority="70">
      <formula>$O$10="Ocultar"</formula>
    </cfRule>
  </conditionalFormatting>
  <conditionalFormatting sqref="AQ111:AT112">
    <cfRule type="expression" dxfId="45" priority="79">
      <formula>$K$22="Ocultar"</formula>
    </cfRule>
  </conditionalFormatting>
  <conditionalFormatting sqref="AQ133:AT143">
    <cfRule type="expression" dxfId="44" priority="71">
      <formula>$O$10="Ocultar"</formula>
    </cfRule>
  </conditionalFormatting>
  <conditionalFormatting sqref="AQ127:BA131">
    <cfRule type="expression" dxfId="43" priority="72">
      <formula>$O$10="Ocultar"</formula>
    </cfRule>
  </conditionalFormatting>
  <conditionalFormatting sqref="AS109">
    <cfRule type="expression" dxfId="42" priority="82">
      <formula>$K$22="Ocultar"</formula>
    </cfRule>
  </conditionalFormatting>
  <conditionalFormatting sqref="AS105:AV105 AQ106:AV117">
    <cfRule type="expression" dxfId="41" priority="76">
      <formula>$O$10="Ocultar"</formula>
    </cfRule>
  </conditionalFormatting>
  <conditionalFormatting sqref="AT71:AU74">
    <cfRule type="expression" dxfId="40" priority="95">
      <formula>$O$10="Ocultar"</formula>
    </cfRule>
  </conditionalFormatting>
  <conditionalFormatting sqref="AT106:AU109 AQ114:AT114 AQ115:AV115 AQ116:AT116 AQ117:AV117">
    <cfRule type="expression" dxfId="39" priority="84">
      <formula>$K$22="Ocultar"</formula>
    </cfRule>
  </conditionalFormatting>
  <conditionalFormatting sqref="AU112:AV112">
    <cfRule type="expression" dxfId="38" priority="78">
      <formula>$K$22="Ocultar"</formula>
    </cfRule>
  </conditionalFormatting>
  <conditionalFormatting sqref="AV30:AV55 AT71:AU74 AQ71:AR77 AQ106:AV122 AQ127:BA131 AQ133:AT147">
    <cfRule type="expression" dxfId="37" priority="69">
      <formula>$J$8="Ocultar"</formula>
    </cfRule>
  </conditionalFormatting>
  <conditionalFormatting sqref="AV30:AV55">
    <cfRule type="expression" dxfId="36" priority="75">
      <formula>$O$10="Ocultar"</formula>
    </cfRule>
  </conditionalFormatting>
  <conditionalFormatting sqref="BJ111">
    <cfRule type="expression" dxfId="35" priority="42">
      <formula>$K$22="Ocultar"</formula>
    </cfRule>
  </conditionalFormatting>
  <conditionalFormatting sqref="BJ98:BK104">
    <cfRule type="expression" dxfId="34" priority="48">
      <formula>$O$10="Ocultar"</formula>
    </cfRule>
  </conditionalFormatting>
  <conditionalFormatting sqref="BJ108:BK109">
    <cfRule type="expression" dxfId="33" priority="39">
      <formula>$K$22="Ocultar"</formula>
    </cfRule>
  </conditionalFormatting>
  <conditionalFormatting sqref="BJ121:BK123">
    <cfRule type="expression" dxfId="32" priority="36">
      <formula>$O$10="Ocultar"</formula>
    </cfRule>
    <cfRule type="expression" dxfId="31" priority="37">
      <formula>$L$22="Ocultar"</formula>
    </cfRule>
  </conditionalFormatting>
  <conditionalFormatting sqref="BJ147:BK149">
    <cfRule type="expression" dxfId="30" priority="32">
      <formula>$O$10="Ocultar"</formula>
    </cfRule>
  </conditionalFormatting>
  <conditionalFormatting sqref="BJ113:BM114">
    <cfRule type="expression" dxfId="29" priority="41">
      <formula>$K$22="Ocultar"</formula>
    </cfRule>
  </conditionalFormatting>
  <conditionalFormatting sqref="BJ135:BM145">
    <cfRule type="expression" dxfId="28" priority="33">
      <formula>$O$10="Ocultar"</formula>
    </cfRule>
  </conditionalFormatting>
  <conditionalFormatting sqref="BJ108:BO123">
    <cfRule type="expression" dxfId="27" priority="35">
      <formula>$J$8="Ocultar"</formula>
    </cfRule>
    <cfRule type="expression" dxfId="26" priority="38">
      <formula>$O$10="Ocultar"</formula>
    </cfRule>
  </conditionalFormatting>
  <conditionalFormatting sqref="BJ129:BT133 BJ135:BM149">
    <cfRule type="expression" dxfId="25" priority="31">
      <formula>$J$8="Ocultar"</formula>
    </cfRule>
  </conditionalFormatting>
  <conditionalFormatting sqref="BJ129:BT133">
    <cfRule type="expression" dxfId="24" priority="34">
      <formula>$O$10="Ocultar"</formula>
    </cfRule>
  </conditionalFormatting>
  <conditionalFormatting sqref="BL111">
    <cfRule type="expression" dxfId="23" priority="44">
      <formula>$K$22="Ocultar"</formula>
    </cfRule>
  </conditionalFormatting>
  <conditionalFormatting sqref="BM98:BN101 BJ98:BK104">
    <cfRule type="expression" dxfId="22" priority="47">
      <formula>$J$8="Ocultar"</formula>
    </cfRule>
  </conditionalFormatting>
  <conditionalFormatting sqref="BM98:BN101">
    <cfRule type="expression" dxfId="21" priority="49">
      <formula>$O$10="Ocultar"</formula>
    </cfRule>
  </conditionalFormatting>
  <conditionalFormatting sqref="BM108:BN111 BJ116:BM116 BJ117:BO117 BJ118:BM118 BJ119:BO119">
    <cfRule type="expression" dxfId="20" priority="46">
      <formula>$K$22="Ocultar"</formula>
    </cfRule>
  </conditionalFormatting>
  <conditionalFormatting sqref="BN114:BO114">
    <cfRule type="expression" dxfId="19" priority="40">
      <formula>$K$22="Ocultar"</formula>
    </cfRule>
  </conditionalFormatting>
  <conditionalFormatting sqref="BO50:BO75">
    <cfRule type="expression" dxfId="18" priority="67">
      <formula>$J$8="Ocultar"</formula>
    </cfRule>
    <cfRule type="expression" dxfId="17" priority="68">
      <formula>$O$10="Ocultar"</formula>
    </cfRule>
  </conditionalFormatting>
  <conditionalFormatting sqref="CE150:CF152">
    <cfRule type="expression" dxfId="16" priority="2">
      <formula>$O$10="Ocultar"</formula>
    </cfRule>
  </conditionalFormatting>
  <conditionalFormatting sqref="CE138:CH148">
    <cfRule type="expression" dxfId="15" priority="3">
      <formula>$O$10="Ocultar"</formula>
    </cfRule>
  </conditionalFormatting>
  <conditionalFormatting sqref="CE132:CO136 CE138:CH152">
    <cfRule type="expression" dxfId="14" priority="1">
      <formula>$J$8="Ocultar"</formula>
    </cfRule>
  </conditionalFormatting>
  <conditionalFormatting sqref="CE132:CO136">
    <cfRule type="expression" dxfId="13" priority="4">
      <formula>$O$10="Ocultar"</formula>
    </cfRule>
  </conditionalFormatting>
  <conditionalFormatting sqref="CP117">
    <cfRule type="expression" dxfId="12" priority="12">
      <formula>$K$22="Ocultar"</formula>
    </cfRule>
  </conditionalFormatting>
  <conditionalFormatting sqref="CP102:CQ108">
    <cfRule type="expression" dxfId="11" priority="18">
      <formula>$O$10="Ocultar"</formula>
    </cfRule>
  </conditionalFormatting>
  <conditionalFormatting sqref="CP114:CQ115">
    <cfRule type="expression" dxfId="10" priority="9">
      <formula>$K$22="Ocultar"</formula>
    </cfRule>
  </conditionalFormatting>
  <conditionalFormatting sqref="CP127:CQ129">
    <cfRule type="expression" dxfId="9" priority="6">
      <formula>$O$10="Ocultar"</formula>
    </cfRule>
    <cfRule type="expression" dxfId="8" priority="7">
      <formula>$L$22="Ocultar"</formula>
    </cfRule>
  </conditionalFormatting>
  <conditionalFormatting sqref="CP119:CS120">
    <cfRule type="expression" dxfId="7" priority="11">
      <formula>$K$22="Ocultar"</formula>
    </cfRule>
  </conditionalFormatting>
  <conditionalFormatting sqref="CP114:CU125">
    <cfRule type="expression" dxfId="6" priority="8">
      <formula>$O$10="Ocultar"</formula>
    </cfRule>
  </conditionalFormatting>
  <conditionalFormatting sqref="CP114:CU129">
    <cfRule type="expression" dxfId="5" priority="5">
      <formula>$J$8="Ocultar"</formula>
    </cfRule>
  </conditionalFormatting>
  <conditionalFormatting sqref="CR117">
    <cfRule type="expression" dxfId="4" priority="14">
      <formula>$K$22="Ocultar"</formula>
    </cfRule>
  </conditionalFormatting>
  <conditionalFormatting sqref="CS102:CT105 CP102:CQ108">
    <cfRule type="expression" dxfId="3" priority="17">
      <formula>$J$8="Ocultar"</formula>
    </cfRule>
  </conditionalFormatting>
  <conditionalFormatting sqref="CS102:CT105">
    <cfRule type="expression" dxfId="2" priority="19">
      <formula>$O$10="Ocultar"</formula>
    </cfRule>
  </conditionalFormatting>
  <conditionalFormatting sqref="CS114:CT117 CP122:CS122 CP123:CU123 CP124:CS124 CP125:CU125">
    <cfRule type="expression" dxfId="1" priority="16">
      <formula>$K$22="Ocultar"</formula>
    </cfRule>
  </conditionalFormatting>
  <conditionalFormatting sqref="CT120:CU120">
    <cfRule type="expression" dxfId="0" priority="10">
      <formula>$K$22="Ocultar"</formula>
    </cfRule>
  </conditionalFormatting>
  <dataValidations count="2">
    <dataValidation type="list" allowBlank="1" showInputMessage="1" showErrorMessage="1" sqref="F109 Y109 AR109 BK111 CQ117" xr:uid="{98EFCA8A-54A0-47F0-A781-F866A8F19949}">
      <formula1>"Ninguno,Arrufo,Quebranto"</formula1>
    </dataValidation>
    <dataValidation type="list" allowBlank="1" showInputMessage="1" showErrorMessage="1" sqref="J8 AC8 AV8" xr:uid="{740A5305-242C-4510-AAD1-49B12F2BAE71}">
      <formula1>"Ver Cuentas, Ocultar"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f369be-50ff-4a13-ae4f-6c6b68207ab3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D34045E171DA40A56911A6A2367DE2" ma:contentTypeVersion="15" ma:contentTypeDescription="Crear nuevo documento." ma:contentTypeScope="" ma:versionID="077a920e49e1cd022f8c621716d0375c">
  <xsd:schema xmlns:xsd="http://www.w3.org/2001/XMLSchema" xmlns:xs="http://www.w3.org/2001/XMLSchema" xmlns:p="http://schemas.microsoft.com/office/2006/metadata/properties" xmlns:ns3="03f369be-50ff-4a13-ae4f-6c6b68207ab3" xmlns:ns4="742dd140-d3a2-48dd-a8e2-55062e21d4d9" targetNamespace="http://schemas.microsoft.com/office/2006/metadata/properties" ma:root="true" ma:fieldsID="9909caa7d22f17a825421f10068ecb08" ns3:_="" ns4:_="">
    <xsd:import namespace="03f369be-50ff-4a13-ae4f-6c6b68207ab3"/>
    <xsd:import namespace="742dd140-d3a2-48dd-a8e2-55062e21d4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69be-50ff-4a13-ae4f-6c6b68207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dd140-d3a2-48dd-a8e2-55062e21d4d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7A811B-E5B9-4D43-B65E-9B69020EB7FE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C53D9468-1AFD-4080-9557-3C11ECCED313}">
  <ds:schemaRefs>
    <ds:schemaRef ds:uri="http://www.w3.org/XML/1998/namespace"/>
    <ds:schemaRef ds:uri="http://schemas.microsoft.com/office/2006/metadata/properties"/>
    <ds:schemaRef ds:uri="742dd140-d3a2-48dd-a8e2-55062e21d4d9"/>
    <ds:schemaRef ds:uri="http://schemas.microsoft.com/office/2006/documentManagement/types"/>
    <ds:schemaRef ds:uri="http://purl.org/dc/terms/"/>
    <ds:schemaRef ds:uri="03f369be-50ff-4a13-ae4f-6c6b68207ab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318D5FD-FD40-4CD1-AB19-87CFEF167410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6B1A6C9D-51FA-4656-84FD-19D6F29AC95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7D425107-839C-49A5-81D4-BA9ADDE71C1D}">
  <ds:schemaRefs>
    <ds:schemaRef ds:uri="http://www.w3.org/2001/XMLSchema"/>
    <ds:schemaRef ds:uri="http://microsoft.data.visualization.engine.tours/1.0"/>
  </ds:schemaRefs>
</ds:datastoreItem>
</file>

<file path=customXml/itemProps6.xml><?xml version="1.0" encoding="utf-8"?>
<ds:datastoreItem xmlns:ds="http://schemas.openxmlformats.org/officeDocument/2006/customXml" ds:itemID="{42CF3AEA-4C31-4BFB-9D7D-C336B22FC0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369be-50ff-4a13-ae4f-6c6b68207ab3"/>
    <ds:schemaRef ds:uri="742dd140-d3a2-48dd-a8e2-55062e21d4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Interfaz</vt:lpstr>
      <vt:lpstr>Leyenda</vt:lpstr>
      <vt:lpstr>TTHH</vt:lpstr>
      <vt:lpstr>Navegación</vt:lpstr>
      <vt:lpstr>D Actual</vt:lpstr>
      <vt:lpstr>Consumos</vt:lpstr>
      <vt:lpstr>D Máximos</vt:lpstr>
      <vt:lpstr>Condición Actual</vt:lpstr>
      <vt:lpstr>Calados Act Sal Lleg</vt:lpstr>
      <vt:lpstr>Carga y Reparto</vt:lpstr>
      <vt:lpstr>Condición Salida</vt:lpstr>
      <vt:lpstr>Condición Día D</vt:lpstr>
      <vt:lpstr>Condición Llegada</vt:lpstr>
      <vt:lpstr>Análisis Inundación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Pérez Seoane</dc:creator>
  <cp:lastModifiedBy>Martín Pérez Seoane</cp:lastModifiedBy>
  <dcterms:created xsi:type="dcterms:W3CDTF">2025-12-23T14:07:18Z</dcterms:created>
  <dcterms:modified xsi:type="dcterms:W3CDTF">2026-04-21T14:07:43Z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0x010100DAD34045E171DA40A56911A6A2367DE2</vt:lpwstr>
  </property>
</Properties>
</file>