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Dropbox\2020\PROJETS\PROCAGICA\RRAT_Eco\"/>
    </mc:Choice>
  </mc:AlternateContent>
  <bookViews>
    <workbookView xWindow="0" yWindow="0" windowWidth="13830" windowHeight="8160" tabRatio="598" firstSheet="1" activeTab="1"/>
  </bookViews>
  <sheets>
    <sheet name="Economico" sheetId="5" state="hidden" r:id="rId1"/>
    <sheet name="Unidades" sheetId="13" r:id="rId2"/>
    <sheet name="Roya" sheetId="3" state="hidden" r:id="rId3"/>
    <sheet name="Escenarios" sheetId="4" state="hidden" r:id="rId4"/>
    <sheet name="tablas" sheetId="6" state="hidden" r:id="rId5"/>
    <sheet name="Sistema de produccion" sheetId="8" r:id="rId6"/>
    <sheet name="Mano de obra e insumos" sheetId="7" r:id="rId7"/>
    <sheet name="Roya historica" sheetId="11" r:id="rId8"/>
    <sheet name="Pronostico Año en curso" sheetId="9" r:id="rId9"/>
    <sheet name="Impacto Año próximo" sheetId="12" r:id="rId10"/>
  </sheets>
  <definedNames>
    <definedName name="altitud">Economico!$B$5</definedName>
    <definedName name="area.prod">Economico!$B$6</definedName>
    <definedName name="canasta.basica">Economico!$B$24</definedName>
    <definedName name="costo.1tratamientoRoya">Economico!$B$22</definedName>
    <definedName name="costo.oport.tierra.norm">Economico!$B$56</definedName>
    <definedName name="costos.indirectos">Economico!$B$15</definedName>
    <definedName name="costos.insumos">Economico!$B$17</definedName>
    <definedName name="costos.prod.otros">Economico!$B$18</definedName>
    <definedName name="costos.prod.tot">Economico!$B$28</definedName>
    <definedName name="gastos.alim.familia">Economico!$B$11</definedName>
    <definedName name="inc.max.crisis">Escenarios!$B$63</definedName>
    <definedName name="inc.max.desfavorable">Escenarios!$B$46</definedName>
    <definedName name="inc.max.favorable">Escenarios!$B$16</definedName>
    <definedName name="inc.max.normal">Escenarios!$B$31</definedName>
    <definedName name="INC.MES">Roya!$A$2:$C$13</definedName>
    <definedName name="inc.mois">Roya!$K$17:$L$29</definedName>
    <definedName name="INC.NORM">Roya!$A$17:$C$29</definedName>
    <definedName name="inc.norm.crisis">Roya!$G$34:$H$46</definedName>
    <definedName name="inc.norm.desfavorable">Roya!$E$34:$F$46</definedName>
    <definedName name="inc.norm.favorable">Roya!$C$34:$D$46</definedName>
    <definedName name="inc.norm.normal">Roya!$A$34:$B$46</definedName>
    <definedName name="ingresos.café">Economico!$B$29</definedName>
    <definedName name="ingresos.otros">Economico!$B$9</definedName>
    <definedName name="ingresos.total">Economico!$B$27</definedName>
    <definedName name="mano.obra.familia">Economico!$B$12</definedName>
    <definedName name="margen">Economico!$B$31</definedName>
    <definedName name="margen.a1.crisis">Economico!$E$42</definedName>
    <definedName name="margen.a1.fav">Economico!$C$42</definedName>
    <definedName name="margen.a1.hist">Economico!$B$42</definedName>
    <definedName name="margen.a1.noFav">Economico!$D$42</definedName>
    <definedName name="margen.a1.ref">Economico!$G$42</definedName>
    <definedName name="margen.a1.trat">Economico!$F$42</definedName>
    <definedName name="margen.a2.ref" localSheetId="9">Economico!#REF!</definedName>
    <definedName name="margen.a2.ref">Economico!#REF!</definedName>
    <definedName name="max.roya">Roya!$J$4</definedName>
    <definedName name="mes">Economico!$B$34</definedName>
    <definedName name="mes.max">Roya!$J$2</definedName>
    <definedName name="mes.norm">Roya!$C$17:$L$29</definedName>
    <definedName name="meses">tablas!$A$1:$B$13</definedName>
    <definedName name="nb.jornales">Economico!$B$14</definedName>
    <definedName name="nb.jornales.c">'Mano de obra e insumos'!$J$36</definedName>
    <definedName name="nb.jornales.d">'Mano de obra e insumos'!$I$36</definedName>
    <definedName name="nb.jornales.f">'Mano de obra e insumos'!$H$36</definedName>
    <definedName name="nb.jornales.hist">'Mano de obra e insumos'!$F$36</definedName>
    <definedName name="nb.jornales.n">'Mano de obra e insumos'!$G$36</definedName>
    <definedName name="nb.jornales.t">'Mano de obra e insumos'!$K$36</definedName>
    <definedName name="nb.mois.cosecha">Roya!$B$32</definedName>
    <definedName name="nb.peones">Economico!$B$13</definedName>
    <definedName name="niv.manejo">Economico!$B$16</definedName>
    <definedName name="nivel.manejo">'Mano de obra e insumos'!$A$8:$A$12</definedName>
    <definedName name="normal">Roya!$A$34:$B$46</definedName>
    <definedName name="num.familias">Economico!$B$3</definedName>
    <definedName name="num.mes">tablas!$E$1:$F$13</definedName>
    <definedName name="paises">tablas!$A$16:$A$22</definedName>
    <definedName name="periodo">Roya!$A$1:$B$13</definedName>
    <definedName name="precio.cafe">Economico!$B$20</definedName>
    <definedName name="precio.tierra">Economico!$B$55</definedName>
    <definedName name="rendimiento.esperado">Economico!$B$7</definedName>
    <definedName name="roya.historico">Economico!$B$8</definedName>
    <definedName name="salario.jornal">Economico!$B$23</definedName>
    <definedName name="salario.minimo">Economico!$B$26</definedName>
    <definedName name="salario.minimo.rural">Economico!$B$25</definedName>
    <definedName name="salario.peon">'Sistema de produccion'!$M$11</definedName>
    <definedName name="tabla.costo.insumos">'Mano de obra e insumos'!$A$15:$B$19</definedName>
    <definedName name="tabla.da.manejo">'Mano de obra e insumos'!$A$8:$B$12</definedName>
    <definedName name="tabla.factor.costo.insumos">'Mano de obra e insumos'!$A$23:$B$25</definedName>
    <definedName name="tamano.familia">Economico!$B$10</definedName>
    <definedName name="ua">Unidades!$B$2</definedName>
    <definedName name="ud">Unidades!$B$4</definedName>
    <definedName name="umbral">Economico!$B$32</definedName>
    <definedName name="up">Unidades!$B$3</definedName>
    <definedName name="val.agreg.prod.a1.crisis">Economico!$E$45</definedName>
    <definedName name="val.agreg.prod.a1.fav">Economico!$C$45</definedName>
    <definedName name="val.agreg.prod.a1.hist">Economico!$B$45</definedName>
    <definedName name="val.agreg.prod.a1.noFav">Economico!$D$45</definedName>
    <definedName name="val.agreg.prod.a1.trat">Economico!$F$45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5" l="1"/>
  <c r="B61" i="5"/>
  <c r="B13" i="3"/>
  <c r="B12" i="3"/>
  <c r="B11" i="3"/>
  <c r="B10" i="3"/>
  <c r="B9" i="3"/>
  <c r="B8" i="3"/>
  <c r="B7" i="3"/>
  <c r="B6" i="3"/>
  <c r="B5" i="3"/>
  <c r="B4" i="3"/>
  <c r="B3" i="3"/>
  <c r="B2" i="3"/>
  <c r="B92" i="5" l="1"/>
  <c r="B63" i="5"/>
  <c r="G3" i="8" l="1"/>
  <c r="L11" i="8"/>
  <c r="N11" i="8"/>
  <c r="C4" i="12" l="1"/>
  <c r="B4" i="12"/>
  <c r="A4" i="12"/>
  <c r="K16" i="12"/>
  <c r="I16" i="12"/>
  <c r="G16" i="12"/>
  <c r="K13" i="12"/>
  <c r="I13" i="12"/>
  <c r="G13" i="12"/>
  <c r="R6" i="12"/>
  <c r="P6" i="12"/>
  <c r="N6" i="12"/>
  <c r="K6" i="12"/>
  <c r="I6" i="12"/>
  <c r="G6" i="12"/>
  <c r="R3" i="12"/>
  <c r="P3" i="12"/>
  <c r="N3" i="12"/>
  <c r="B1" i="12"/>
  <c r="A1" i="12"/>
  <c r="B84" i="5"/>
  <c r="F66" i="5"/>
  <c r="B25" i="5"/>
  <c r="L9" i="8" l="1"/>
  <c r="C4" i="8"/>
  <c r="K13" i="9"/>
  <c r="I13" i="9"/>
  <c r="G13" i="9"/>
  <c r="R6" i="9" l="1"/>
  <c r="R3" i="9"/>
  <c r="P6" i="9"/>
  <c r="P3" i="9"/>
  <c r="N6" i="9"/>
  <c r="N3" i="9"/>
  <c r="K16" i="9"/>
  <c r="I16" i="9"/>
  <c r="G16" i="9"/>
  <c r="K6" i="9"/>
  <c r="I6" i="9"/>
  <c r="G6" i="9"/>
  <c r="C7" i="7"/>
  <c r="B7" i="7"/>
  <c r="L5" i="8"/>
  <c r="N3" i="8"/>
  <c r="G5" i="8"/>
  <c r="N9" i="8"/>
  <c r="B11" i="8"/>
  <c r="D11" i="8"/>
  <c r="D9" i="8"/>
  <c r="B32" i="5"/>
  <c r="I3" i="8"/>
  <c r="I11" i="8"/>
  <c r="B72" i="3"/>
  <c r="B73" i="3"/>
  <c r="B74" i="3"/>
  <c r="B75" i="3"/>
  <c r="B76" i="3"/>
  <c r="G9" i="8" l="1"/>
  <c r="B7" i="5" l="1"/>
  <c r="B34" i="5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B3" i="7" l="1"/>
  <c r="B26" i="5"/>
  <c r="B24" i="5"/>
  <c r="B23" i="5"/>
  <c r="B22" i="5"/>
  <c r="B21" i="5"/>
  <c r="B20" i="5"/>
  <c r="B80" i="5" s="1"/>
  <c r="B18" i="5"/>
  <c r="B16" i="5"/>
  <c r="B17" i="5" s="1"/>
  <c r="B15" i="5"/>
  <c r="B12" i="5"/>
  <c r="B11" i="5"/>
  <c r="B10" i="5"/>
  <c r="B9" i="5"/>
  <c r="B6" i="5"/>
  <c r="F39" i="7" s="1"/>
  <c r="B5" i="5"/>
  <c r="B3" i="5"/>
  <c r="B2" i="5"/>
  <c r="A1" i="5"/>
  <c r="C13" i="3"/>
  <c r="C12" i="3"/>
  <c r="C11" i="3"/>
  <c r="C10" i="3"/>
  <c r="C9" i="3"/>
  <c r="C8" i="3"/>
  <c r="C7" i="3"/>
  <c r="C6" i="3"/>
  <c r="C5" i="3"/>
  <c r="C4" i="3"/>
  <c r="C3" i="3"/>
  <c r="C2" i="3"/>
  <c r="B91" i="5" l="1"/>
  <c r="B62" i="5"/>
  <c r="D4" i="9"/>
  <c r="D4" i="12"/>
  <c r="F40" i="7"/>
  <c r="B33" i="5"/>
  <c r="B2" i="7"/>
  <c r="B19" i="7"/>
  <c r="B18" i="7"/>
  <c r="B17" i="7"/>
  <c r="B16" i="7"/>
  <c r="B15" i="7"/>
  <c r="F29" i="7"/>
  <c r="F30" i="7" s="1"/>
  <c r="F33" i="7" l="1"/>
  <c r="G43" i="7"/>
  <c r="H43" i="7"/>
  <c r="F43" i="7"/>
  <c r="I43" i="7"/>
  <c r="K43" i="7"/>
  <c r="J43" i="7"/>
  <c r="A1" i="11"/>
  <c r="A1" i="9"/>
  <c r="B1" i="11"/>
  <c r="B1" i="9"/>
  <c r="F37" i="5" l="1"/>
  <c r="B29" i="5"/>
  <c r="B27" i="5"/>
  <c r="K33" i="7" l="1"/>
  <c r="J33" i="7"/>
  <c r="I33" i="7"/>
  <c r="H33" i="7"/>
  <c r="G33" i="7"/>
  <c r="C32" i="3"/>
  <c r="B8" i="5" s="1"/>
  <c r="B32" i="3"/>
  <c r="H44" i="7" l="1"/>
  <c r="H45" i="7" s="1"/>
  <c r="F44" i="7"/>
  <c r="F45" i="7" s="1"/>
  <c r="J44" i="7"/>
  <c r="J45" i="7" s="1"/>
  <c r="I44" i="7"/>
  <c r="I45" i="7" s="1"/>
  <c r="K44" i="7"/>
  <c r="K45" i="7" s="1"/>
  <c r="G44" i="7"/>
  <c r="G45" i="7" s="1"/>
  <c r="F41" i="7"/>
  <c r="F42" i="7" s="1"/>
  <c r="J41" i="7"/>
  <c r="K41" i="7"/>
  <c r="G41" i="7"/>
  <c r="I41" i="7"/>
  <c r="H41" i="7"/>
  <c r="G67" i="5"/>
  <c r="G70" i="5" s="1"/>
  <c r="F3" i="12"/>
  <c r="F3" i="9"/>
  <c r="G38" i="5"/>
  <c r="K34" i="7"/>
  <c r="K35" i="7" s="1"/>
  <c r="K31" i="7"/>
  <c r="J31" i="7"/>
  <c r="I31" i="7"/>
  <c r="G31" i="7"/>
  <c r="F31" i="7"/>
  <c r="F32" i="7" s="1"/>
  <c r="F34" i="7"/>
  <c r="F35" i="7" s="1"/>
  <c r="H31" i="7"/>
  <c r="H34" i="7"/>
  <c r="H35" i="7" s="1"/>
  <c r="I34" i="7"/>
  <c r="I35" i="7" s="1"/>
  <c r="G34" i="7"/>
  <c r="G35" i="7" s="1"/>
  <c r="J34" i="7"/>
  <c r="J35" i="7" s="1"/>
  <c r="B51" i="5"/>
  <c r="B30" i="5"/>
  <c r="F46" i="7" l="1"/>
  <c r="G68" i="5" s="1"/>
  <c r="G69" i="5"/>
  <c r="G85" i="5"/>
  <c r="G41" i="5"/>
  <c r="G40" i="5"/>
  <c r="F36" i="7"/>
  <c r="G39" i="5" l="1"/>
  <c r="M16" i="12"/>
  <c r="B14" i="5"/>
  <c r="M16" i="9"/>
  <c r="G81" i="5" l="1"/>
  <c r="G83" i="5" s="1"/>
  <c r="F13" i="12" s="1"/>
  <c r="G52" i="5"/>
  <c r="B28" i="5"/>
  <c r="A3" i="6"/>
  <c r="A4" i="6" s="1"/>
  <c r="G82" i="5" l="1"/>
  <c r="G57" i="5"/>
  <c r="G54" i="5"/>
  <c r="F13" i="9" s="1"/>
  <c r="G56" i="5"/>
  <c r="G53" i="5"/>
  <c r="A5" i="6"/>
  <c r="A6" i="6" s="1"/>
  <c r="A7" i="6" s="1"/>
  <c r="A8" i="6" s="1"/>
  <c r="A9" i="6" s="1"/>
  <c r="A10" i="6" s="1"/>
  <c r="A11" i="6" s="1"/>
  <c r="A12" i="6" s="1"/>
  <c r="A13" i="6" s="1"/>
  <c r="G46" i="3" l="1"/>
  <c r="G45" i="3"/>
  <c r="G44" i="3"/>
  <c r="G43" i="3"/>
  <c r="G42" i="3"/>
  <c r="G41" i="3"/>
  <c r="G40" i="3"/>
  <c r="G39" i="3"/>
  <c r="G38" i="3"/>
  <c r="G37" i="3"/>
  <c r="G36" i="3"/>
  <c r="G35" i="3"/>
  <c r="D13" i="3" l="1"/>
  <c r="D12" i="3"/>
  <c r="D11" i="3"/>
  <c r="D10" i="3"/>
  <c r="D9" i="3"/>
  <c r="D8" i="3"/>
  <c r="D7" i="3"/>
  <c r="D6" i="3"/>
  <c r="D5" i="3"/>
  <c r="D4" i="3"/>
  <c r="D3" i="3"/>
  <c r="D2" i="3"/>
  <c r="E12" i="3" l="1"/>
  <c r="H12" i="3" s="1"/>
  <c r="E11" i="3"/>
  <c r="F11" i="3" s="1"/>
  <c r="E10" i="3"/>
  <c r="G10" i="3" s="1"/>
  <c r="E8" i="3"/>
  <c r="H8" i="3" s="1"/>
  <c r="E7" i="3"/>
  <c r="G7" i="3" s="1"/>
  <c r="E6" i="3"/>
  <c r="G6" i="3" s="1"/>
  <c r="E4" i="3"/>
  <c r="H4" i="3" s="1"/>
  <c r="E3" i="3"/>
  <c r="G3" i="3" s="1"/>
  <c r="E2" i="3"/>
  <c r="G2" i="3" s="1"/>
  <c r="G11" i="3" l="1"/>
  <c r="D44" i="3" s="1"/>
  <c r="H11" i="3"/>
  <c r="H44" i="3" s="1"/>
  <c r="H10" i="3"/>
  <c r="G8" i="3"/>
  <c r="D41" i="3" s="1"/>
  <c r="F8" i="3"/>
  <c r="F41" i="3" s="1"/>
  <c r="H6" i="3"/>
  <c r="H39" i="3" s="1"/>
  <c r="F6" i="3"/>
  <c r="F39" i="3" s="1"/>
  <c r="G12" i="3"/>
  <c r="D45" i="3" s="1"/>
  <c r="H7" i="3"/>
  <c r="H40" i="3" s="1"/>
  <c r="F12" i="3"/>
  <c r="F45" i="3" s="1"/>
  <c r="H3" i="3"/>
  <c r="H36" i="3" s="1"/>
  <c r="F3" i="3"/>
  <c r="F36" i="3" s="1"/>
  <c r="F4" i="3"/>
  <c r="F37" i="3" s="1"/>
  <c r="F7" i="3"/>
  <c r="F40" i="3" s="1"/>
  <c r="G4" i="3"/>
  <c r="D37" i="3" s="1"/>
  <c r="F10" i="3"/>
  <c r="F43" i="3" s="1"/>
  <c r="H2" i="3"/>
  <c r="H35" i="3" s="1"/>
  <c r="F2" i="3"/>
  <c r="F35" i="3" s="1"/>
  <c r="B35" i="3"/>
  <c r="D35" i="3"/>
  <c r="B45" i="3"/>
  <c r="H45" i="3"/>
  <c r="B36" i="3"/>
  <c r="D36" i="3"/>
  <c r="B41" i="3"/>
  <c r="H41" i="3"/>
  <c r="B37" i="3"/>
  <c r="H37" i="3"/>
  <c r="B43" i="3"/>
  <c r="H43" i="3"/>
  <c r="D43" i="3"/>
  <c r="B44" i="3"/>
  <c r="F44" i="3"/>
  <c r="B39" i="3"/>
  <c r="D39" i="3"/>
  <c r="B40" i="3"/>
  <c r="D40" i="3"/>
  <c r="E5" i="3"/>
  <c r="E9" i="3"/>
  <c r="E13" i="3"/>
  <c r="H9" i="3" l="1"/>
  <c r="H42" i="3" s="1"/>
  <c r="G9" i="3"/>
  <c r="D42" i="3" s="1"/>
  <c r="F9" i="3"/>
  <c r="F42" i="3" s="1"/>
  <c r="H5" i="3"/>
  <c r="H38" i="3" s="1"/>
  <c r="F5" i="3"/>
  <c r="F38" i="3" s="1"/>
  <c r="G5" i="3"/>
  <c r="D38" i="3" s="1"/>
  <c r="G13" i="3"/>
  <c r="D46" i="3" s="1"/>
  <c r="F13" i="3"/>
  <c r="F46" i="3" s="1"/>
  <c r="H13" i="3"/>
  <c r="H46" i="3" s="1"/>
  <c r="B42" i="3"/>
  <c r="B38" i="3"/>
  <c r="B46" i="3"/>
  <c r="I13" i="3" l="1"/>
  <c r="C29" i="3" s="1"/>
  <c r="K29" i="3" s="1"/>
  <c r="I12" i="3"/>
  <c r="C28" i="3" s="1"/>
  <c r="K28" i="3" s="1"/>
  <c r="I11" i="3"/>
  <c r="C27" i="3" s="1"/>
  <c r="I10" i="3"/>
  <c r="C26" i="3" s="1"/>
  <c r="K26" i="3" s="1"/>
  <c r="I9" i="3"/>
  <c r="C25" i="3" s="1"/>
  <c r="K25" i="3" s="1"/>
  <c r="I8" i="3"/>
  <c r="C24" i="3" s="1"/>
  <c r="K24" i="3" s="1"/>
  <c r="I7" i="3"/>
  <c r="C23" i="3" s="1"/>
  <c r="K23" i="3" s="1"/>
  <c r="I6" i="3"/>
  <c r="C22" i="3" s="1"/>
  <c r="K22" i="3" s="1"/>
  <c r="I5" i="3"/>
  <c r="C21" i="3" s="1"/>
  <c r="K21" i="3" s="1"/>
  <c r="I4" i="3"/>
  <c r="C20" i="3" s="1"/>
  <c r="K20" i="3" s="1"/>
  <c r="I3" i="3"/>
  <c r="C19" i="3" s="1"/>
  <c r="K19" i="3" s="1"/>
  <c r="I2" i="3"/>
  <c r="C18" i="3" s="1"/>
  <c r="K18" i="3" l="1"/>
  <c r="K27" i="3"/>
  <c r="J2" i="3" l="1"/>
  <c r="B31" i="5" l="1"/>
  <c r="G71" i="5" s="1"/>
  <c r="G42" i="5" l="1"/>
  <c r="G45" i="5" s="1"/>
  <c r="F6" i="12"/>
  <c r="G76" i="5" l="1"/>
  <c r="G79" i="5" s="1"/>
  <c r="M13" i="12" s="1"/>
  <c r="F16" i="12"/>
  <c r="G72" i="5"/>
  <c r="F7" i="12" s="1"/>
  <c r="G43" i="5"/>
  <c r="F6" i="9"/>
  <c r="F16" i="9" s="1"/>
  <c r="G47" i="5"/>
  <c r="G77" i="5" l="1"/>
  <c r="F10" i="12" s="1"/>
  <c r="G78" i="5"/>
  <c r="M10" i="12" s="1"/>
  <c r="G48" i="5"/>
  <c r="G50" i="5"/>
  <c r="G49" i="5"/>
  <c r="M10" i="9" l="1"/>
  <c r="M13" i="9"/>
  <c r="F10" i="9"/>
  <c r="F7" i="9"/>
  <c r="B9" i="4" l="1"/>
  <c r="D9" i="4"/>
  <c r="B56" i="4" l="1"/>
  <c r="B39" i="4"/>
  <c r="B10" i="4"/>
  <c r="D56" i="4"/>
  <c r="D39" i="4"/>
  <c r="D10" i="4"/>
  <c r="B11" i="4" l="1"/>
  <c r="B24" i="4"/>
  <c r="B40" i="4"/>
  <c r="B57" i="4"/>
  <c r="D24" i="4"/>
  <c r="D57" i="4"/>
  <c r="D40" i="4"/>
  <c r="D11" i="4"/>
  <c r="B41" i="4" l="1"/>
  <c r="B58" i="4"/>
  <c r="B12" i="4"/>
  <c r="B25" i="4"/>
  <c r="D58" i="4"/>
  <c r="D41" i="4"/>
  <c r="D12" i="4"/>
  <c r="D25" i="4"/>
  <c r="B26" i="4" l="1"/>
  <c r="B59" i="4"/>
  <c r="B13" i="4"/>
  <c r="B42" i="4"/>
  <c r="D13" i="4"/>
  <c r="D26" i="4"/>
  <c r="D42" i="4"/>
  <c r="D59" i="4"/>
  <c r="B43" i="4" l="1"/>
  <c r="B14" i="4"/>
  <c r="B60" i="4"/>
  <c r="B27" i="4"/>
  <c r="D27" i="4"/>
  <c r="D14" i="4"/>
  <c r="D43" i="4"/>
  <c r="D60" i="4"/>
  <c r="B28" i="4" l="1"/>
  <c r="B61" i="4"/>
  <c r="B15" i="4"/>
  <c r="B44" i="4"/>
  <c r="D28" i="4"/>
  <c r="D44" i="4"/>
  <c r="D61" i="4"/>
  <c r="D15" i="4"/>
  <c r="B45" i="4" l="1"/>
  <c r="B4" i="4"/>
  <c r="B62" i="4"/>
  <c r="B29" i="4"/>
  <c r="D45" i="4"/>
  <c r="D4" i="4"/>
  <c r="D62" i="4"/>
  <c r="D29" i="4"/>
  <c r="B30" i="4" l="1"/>
  <c r="B51" i="4"/>
  <c r="B5" i="4"/>
  <c r="B34" i="4"/>
  <c r="D30" i="4"/>
  <c r="D51" i="4"/>
  <c r="D5" i="4"/>
  <c r="D34" i="4"/>
  <c r="B35" i="4" l="1"/>
  <c r="B6" i="4"/>
  <c r="B52" i="4"/>
  <c r="B19" i="4"/>
  <c r="D19" i="4"/>
  <c r="D35" i="4"/>
  <c r="D52" i="4"/>
  <c r="D6" i="4"/>
  <c r="B20" i="4" l="1"/>
  <c r="B53" i="4"/>
  <c r="B7" i="4"/>
  <c r="B36" i="4"/>
  <c r="D36" i="4"/>
  <c r="D20" i="4"/>
  <c r="D7" i="4"/>
  <c r="D53" i="4"/>
  <c r="B8" i="4" l="1"/>
  <c r="B37" i="4"/>
  <c r="B54" i="4"/>
  <c r="B21" i="4"/>
  <c r="D37" i="4"/>
  <c r="D21" i="4"/>
  <c r="D8" i="4"/>
  <c r="D54" i="4"/>
  <c r="B55" i="4" l="1"/>
  <c r="B63" i="4" s="1"/>
  <c r="E38" i="5" s="1"/>
  <c r="B38" i="4"/>
  <c r="B46" i="4" s="1"/>
  <c r="D67" i="5" s="1"/>
  <c r="B16" i="4"/>
  <c r="B22" i="4"/>
  <c r="D22" i="4"/>
  <c r="D38" i="4"/>
  <c r="D55" i="4"/>
  <c r="E67" i="5" l="1"/>
  <c r="E70" i="5" s="1"/>
  <c r="D38" i="5"/>
  <c r="D40" i="5" s="1"/>
  <c r="B23" i="4"/>
  <c r="B31" i="4" s="1"/>
  <c r="C38" i="5"/>
  <c r="C67" i="5"/>
  <c r="I39" i="7"/>
  <c r="D70" i="5"/>
  <c r="F67" i="5"/>
  <c r="D69" i="5"/>
  <c r="D85" i="5"/>
  <c r="E41" i="5"/>
  <c r="E40" i="5"/>
  <c r="J29" i="7"/>
  <c r="J30" i="7" s="1"/>
  <c r="J32" i="7" s="1"/>
  <c r="J36" i="7" s="1"/>
  <c r="D23" i="4"/>
  <c r="F38" i="5" l="1"/>
  <c r="J3" i="9" s="1"/>
  <c r="I29" i="7"/>
  <c r="I30" i="7" s="1"/>
  <c r="I32" i="7" s="1"/>
  <c r="I36" i="7" s="1"/>
  <c r="D39" i="5" s="1"/>
  <c r="D41" i="5"/>
  <c r="E85" i="5"/>
  <c r="E69" i="5"/>
  <c r="J39" i="7"/>
  <c r="B38" i="5"/>
  <c r="B67" i="5"/>
  <c r="B70" i="5" s="1"/>
  <c r="C70" i="5"/>
  <c r="C69" i="5"/>
  <c r="H39" i="7"/>
  <c r="H40" i="7" s="1"/>
  <c r="H42" i="7" s="1"/>
  <c r="H46" i="7" s="1"/>
  <c r="C68" i="5" s="1"/>
  <c r="C81" i="5" s="1"/>
  <c r="C85" i="5"/>
  <c r="C40" i="5"/>
  <c r="C41" i="5"/>
  <c r="H29" i="7"/>
  <c r="H30" i="7" s="1"/>
  <c r="H32" i="7" s="1"/>
  <c r="H36" i="7" s="1"/>
  <c r="C39" i="5" s="1"/>
  <c r="C52" i="5" s="1"/>
  <c r="F70" i="5"/>
  <c r="F69" i="5"/>
  <c r="F85" i="5"/>
  <c r="K39" i="7"/>
  <c r="K40" i="7" s="1"/>
  <c r="K42" i="7" s="1"/>
  <c r="K46" i="7" s="1"/>
  <c r="E39" i="5"/>
  <c r="E52" i="5" s="1"/>
  <c r="C57" i="5" l="1"/>
  <c r="G29" i="7"/>
  <c r="G30" i="7" s="1"/>
  <c r="G32" i="7" s="1"/>
  <c r="G36" i="7" s="1"/>
  <c r="H3" i="9"/>
  <c r="H3" i="12"/>
  <c r="E56" i="5"/>
  <c r="E57" i="5"/>
  <c r="C56" i="5"/>
  <c r="E54" i="5"/>
  <c r="C54" i="5"/>
  <c r="F40" i="5"/>
  <c r="D52" i="5"/>
  <c r="J3" i="12"/>
  <c r="K29" i="7"/>
  <c r="K30" i="7" s="1"/>
  <c r="K32" i="7" s="1"/>
  <c r="K36" i="7" s="1"/>
  <c r="F39" i="5" s="1"/>
  <c r="F52" i="5" s="1"/>
  <c r="F41" i="5"/>
  <c r="D42" i="5"/>
  <c r="D45" i="5" s="1"/>
  <c r="D46" i="5" s="1"/>
  <c r="I40" i="7" s="1"/>
  <c r="I42" i="7" s="1"/>
  <c r="I46" i="7" s="1"/>
  <c r="D68" i="5" s="1"/>
  <c r="D81" i="5" s="1"/>
  <c r="D82" i="5" s="1"/>
  <c r="B40" i="5"/>
  <c r="B41" i="5"/>
  <c r="B69" i="5"/>
  <c r="G39" i="7"/>
  <c r="B85" i="5"/>
  <c r="C53" i="5"/>
  <c r="C42" i="5"/>
  <c r="C83" i="5"/>
  <c r="C82" i="5"/>
  <c r="C71" i="5"/>
  <c r="E42" i="5"/>
  <c r="E47" i="5" s="1"/>
  <c r="F68" i="5"/>
  <c r="F81" i="5" s="1"/>
  <c r="Q16" i="12"/>
  <c r="E53" i="5"/>
  <c r="F57" i="5" l="1"/>
  <c r="B39" i="5"/>
  <c r="B52" i="5" s="1"/>
  <c r="B57" i="5" s="1"/>
  <c r="O16" i="9"/>
  <c r="D56" i="5"/>
  <c r="D57" i="5"/>
  <c r="F56" i="5"/>
  <c r="D54" i="5"/>
  <c r="F54" i="5"/>
  <c r="J13" i="9" s="1"/>
  <c r="D53" i="5"/>
  <c r="Q16" i="9"/>
  <c r="D43" i="5"/>
  <c r="D71" i="5"/>
  <c r="D74" i="5" s="1"/>
  <c r="D75" i="5" s="1"/>
  <c r="D47" i="5"/>
  <c r="D48" i="5" s="1"/>
  <c r="D83" i="5"/>
  <c r="C74" i="5"/>
  <c r="C75" i="5" s="1"/>
  <c r="C72" i="5"/>
  <c r="C76" i="5"/>
  <c r="C45" i="5"/>
  <c r="C46" i="5" s="1"/>
  <c r="C47" i="5"/>
  <c r="C43" i="5"/>
  <c r="E45" i="5"/>
  <c r="E46" i="5" s="1"/>
  <c r="E43" i="5"/>
  <c r="F82" i="5"/>
  <c r="F83" i="5"/>
  <c r="J13" i="12" s="1"/>
  <c r="E49" i="5"/>
  <c r="E48" i="5"/>
  <c r="E50" i="5"/>
  <c r="G46" i="5"/>
  <c r="M6" i="9" s="1"/>
  <c r="M3" i="9"/>
  <c r="F53" i="5"/>
  <c r="F71" i="5"/>
  <c r="F42" i="5"/>
  <c r="F47" i="5" l="1"/>
  <c r="F45" i="5"/>
  <c r="B54" i="5"/>
  <c r="H13" i="9" s="1"/>
  <c r="B56" i="5"/>
  <c r="G86" i="5" s="1"/>
  <c r="B53" i="5"/>
  <c r="B42" i="5"/>
  <c r="D50" i="5"/>
  <c r="D49" i="5"/>
  <c r="D72" i="5"/>
  <c r="D76" i="5"/>
  <c r="D78" i="5" s="1"/>
  <c r="C50" i="5"/>
  <c r="C49" i="5"/>
  <c r="C48" i="5"/>
  <c r="C78" i="5"/>
  <c r="C79" i="5"/>
  <c r="C77" i="5"/>
  <c r="F43" i="5"/>
  <c r="J7" i="9" s="1"/>
  <c r="J6" i="9"/>
  <c r="J16" i="9" s="1"/>
  <c r="J40" i="7"/>
  <c r="J42" i="7" s="1"/>
  <c r="J46" i="7" s="1"/>
  <c r="F74" i="5"/>
  <c r="F72" i="5"/>
  <c r="J7" i="12" s="1"/>
  <c r="J6" i="12"/>
  <c r="J16" i="12" s="1"/>
  <c r="F76" i="5"/>
  <c r="D86" i="5" l="1"/>
  <c r="C86" i="5"/>
  <c r="F86" i="5"/>
  <c r="B43" i="5"/>
  <c r="H7" i="9" s="1"/>
  <c r="B47" i="5"/>
  <c r="G74" i="5"/>
  <c r="B45" i="5"/>
  <c r="H6" i="9"/>
  <c r="H16" i="9" s="1"/>
  <c r="D77" i="5"/>
  <c r="D79" i="5"/>
  <c r="E68" i="5"/>
  <c r="F79" i="5"/>
  <c r="Q13" i="12" s="1"/>
  <c r="F77" i="5"/>
  <c r="J10" i="12" s="1"/>
  <c r="F78" i="5"/>
  <c r="Q10" i="12" s="1"/>
  <c r="F49" i="5"/>
  <c r="Q10" i="9" s="1"/>
  <c r="F48" i="5"/>
  <c r="J10" i="9" s="1"/>
  <c r="F50" i="5"/>
  <c r="Q13" i="9" s="1"/>
  <c r="F75" i="5"/>
  <c r="Q6" i="12" s="1"/>
  <c r="Q3" i="12"/>
  <c r="Q3" i="9"/>
  <c r="F46" i="5"/>
  <c r="Q6" i="9" s="1"/>
  <c r="B46" i="5" l="1"/>
  <c r="O3" i="9"/>
  <c r="G75" i="5"/>
  <c r="M6" i="12" s="1"/>
  <c r="M3" i="12"/>
  <c r="B50" i="5"/>
  <c r="O13" i="9" s="1"/>
  <c r="B49" i="5"/>
  <c r="O10" i="9" s="1"/>
  <c r="B48" i="5"/>
  <c r="H10" i="9" s="1"/>
  <c r="E81" i="5"/>
  <c r="E71" i="5"/>
  <c r="G40" i="7" l="1"/>
  <c r="G42" i="7" s="1"/>
  <c r="G46" i="7" s="1"/>
  <c r="O6" i="9"/>
  <c r="E72" i="5"/>
  <c r="E74" i="5"/>
  <c r="E76" i="5"/>
  <c r="E82" i="5"/>
  <c r="E86" i="5" s="1"/>
  <c r="E83" i="5"/>
  <c r="B68" i="5" l="1"/>
  <c r="O16" i="12"/>
  <c r="E79" i="5"/>
  <c r="E77" i="5"/>
  <c r="E78" i="5"/>
  <c r="E75" i="5"/>
  <c r="B81" i="5" l="1"/>
  <c r="B71" i="5"/>
  <c r="B74" i="5" l="1"/>
  <c r="B72" i="5"/>
  <c r="H7" i="12" s="1"/>
  <c r="B76" i="5"/>
  <c r="H6" i="12"/>
  <c r="H16" i="12" s="1"/>
  <c r="B82" i="5"/>
  <c r="B86" i="5" s="1"/>
  <c r="B83" i="5"/>
  <c r="H13" i="12" s="1"/>
  <c r="B77" i="5" l="1"/>
  <c r="H10" i="12" s="1"/>
  <c r="B79" i="5"/>
  <c r="O13" i="12" s="1"/>
  <c r="B78" i="5"/>
  <c r="O10" i="12" s="1"/>
  <c r="B75" i="5"/>
  <c r="O6" i="12" s="1"/>
  <c r="O3" i="12"/>
</calcChain>
</file>

<file path=xl/comments1.xml><?xml version="1.0" encoding="utf-8"?>
<comments xmlns="http://schemas.openxmlformats.org/spreadsheetml/2006/main">
  <authors>
    <author>Gregoire</author>
  </authors>
  <commentList>
    <comment ref="B7" authorId="0" shapeId="0">
      <text>
        <r>
          <rPr>
            <sz val="9"/>
            <color indexed="81"/>
            <rFont val="Tahoma"/>
            <family val="2"/>
          </rPr>
          <t>rendimiento esperado con nivel habitual de roya para este sistema de produccion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maximo de roya curva historica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quintal = 46kg o 100 libras; precio justo 2019 es 140$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>relacion con el tipo de produccion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ojo por mes y por persona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Gregoire:</t>
        </r>
        <r>
          <rPr>
            <sz val="9"/>
            <color indexed="81"/>
            <rFont val="Tahoma"/>
            <family val="2"/>
          </rPr>
          <t xml:space="preserve">
IPSIM nos da las evoluciones de roya para el mes siguiente.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Gregoire:</t>
        </r>
        <r>
          <rPr>
            <sz val="9"/>
            <color indexed="81"/>
            <rFont val="Tahoma"/>
            <family val="2"/>
          </rPr>
          <t xml:space="preserve">
aqui poner X - Salida IPSIM para referencia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negativo es perdida; respeto a condiciones con roya normal</t>
        </r>
      </text>
    </comment>
    <comment ref="A45" authorId="0" shapeId="0">
      <text>
        <r>
          <rPr>
            <sz val="9"/>
            <color indexed="81"/>
            <rFont val="Tahoma"/>
            <family val="2"/>
          </rPr>
          <t>depende del numero de familias de este tipo</t>
        </r>
      </text>
    </comment>
    <comment ref="A48" authorId="0" shapeId="0">
      <text>
        <r>
          <rPr>
            <sz val="9"/>
            <color indexed="81"/>
            <rFont val="Tahoma"/>
            <family val="2"/>
          </rPr>
          <t>lleva a hambre y/o stress y ajustes (ojo ya la alimentacion de la familia esta considerada en el margen)</t>
        </r>
      </text>
    </comment>
    <comment ref="A49" authorId="0" shapeId="0">
      <text>
        <r>
          <rPr>
            <sz val="9"/>
            <color indexed="81"/>
            <rFont val="Tahoma"/>
            <family val="2"/>
          </rPr>
          <t>Ratio entre ingreso finca y ingreso jornaleo</t>
        </r>
      </text>
    </comment>
    <comment ref="A50" authorId="0" shapeId="0">
      <text>
        <r>
          <rPr>
            <sz val="9"/>
            <color indexed="81"/>
            <rFont val="Tahoma"/>
            <family val="2"/>
          </rPr>
          <t>lleva a migracion de jovenes o jornaleo</t>
        </r>
      </text>
    </comment>
    <comment ref="A53" authorId="0" shapeId="0">
      <text>
        <r>
          <rPr>
            <sz val="9"/>
            <color indexed="81"/>
            <rFont val="Tahoma"/>
            <family val="2"/>
          </rPr>
          <t>Calculado en base a margen=0. Subsidios en caso de crisis?</t>
        </r>
      </text>
    </comment>
    <comment ref="A56" authorId="0" shapeId="0">
      <text>
        <r>
          <rPr>
            <sz val="12"/>
            <color indexed="81"/>
            <rFont val="Tahoma"/>
            <family val="2"/>
          </rPr>
          <t>costo de no invertir el valor de la tierra a 4%</t>
        </r>
      </text>
    </comment>
    <comment ref="A57" authorId="0" shapeId="0">
      <text>
        <r>
          <rPr>
            <sz val="14"/>
            <color indexed="81"/>
            <rFont val="Tahoma"/>
            <family val="2"/>
          </rPr>
          <t>costos directos+indirectos+de oportunidad de la tierra = costo de venta de cafe para ser competitivo</t>
        </r>
      </text>
    </comment>
    <comment ref="B61" authorId="0" shapeId="0">
      <text>
        <r>
          <rPr>
            <sz val="9"/>
            <color indexed="81"/>
            <rFont val="Tahoma"/>
            <family val="2"/>
          </rPr>
          <t>nb de meses entre hoy y el inicio de la cosecha</t>
        </r>
      </text>
    </comment>
    <comment ref="A63" authorId="0" shapeId="0">
      <text>
        <r>
          <rPr>
            <sz val="9"/>
            <color indexed="81"/>
            <rFont val="Tahoma"/>
            <family val="2"/>
          </rPr>
          <t>Se usa la incidencia con condiciones no favorables (conservador)</t>
        </r>
      </text>
    </comment>
    <comment ref="A69" authorId="0" shapeId="0">
      <text>
        <r>
          <rPr>
            <sz val="9"/>
            <color indexed="81"/>
            <rFont val="Tahoma"/>
            <family val="2"/>
          </rPr>
          <t>negativo es perdida; respeto a condiciones con roya normal</t>
        </r>
      </text>
    </comment>
    <comment ref="A74" authorId="0" shapeId="0">
      <text>
        <r>
          <rPr>
            <sz val="9"/>
            <color indexed="81"/>
            <rFont val="Tahoma"/>
            <family val="2"/>
          </rPr>
          <t>depende del numero de familias de este tipo</t>
        </r>
      </text>
    </comment>
    <comment ref="A77" authorId="0" shapeId="0">
      <text>
        <r>
          <rPr>
            <sz val="9"/>
            <color indexed="81"/>
            <rFont val="Tahoma"/>
            <family val="2"/>
          </rPr>
          <t>lleva a hambre y/o stress y ajustes (ojo ya la alimentacion de la familia esta considerada en el margen)</t>
        </r>
      </text>
    </comment>
    <comment ref="A78" authorId="0" shapeId="0">
      <text>
        <r>
          <rPr>
            <sz val="9"/>
            <color indexed="81"/>
            <rFont val="Tahoma"/>
            <family val="2"/>
          </rPr>
          <t>Ratio entre ingreso finca y ingreso jornaleo</t>
        </r>
      </text>
    </comment>
    <comment ref="A79" authorId="0" shapeId="0">
      <text>
        <r>
          <rPr>
            <sz val="9"/>
            <color indexed="81"/>
            <rFont val="Tahoma"/>
            <family val="2"/>
          </rPr>
          <t>lleva a migracion de jovenes o jornaleo</t>
        </r>
      </text>
    </comment>
    <comment ref="A82" authorId="0" shapeId="0">
      <text>
        <r>
          <rPr>
            <sz val="9"/>
            <color indexed="81"/>
            <rFont val="Tahoma"/>
            <family val="2"/>
          </rPr>
          <t>Calculado en base a margen=0. Subsidios en caso de crisis?</t>
        </r>
      </text>
    </comment>
    <comment ref="A85" authorId="0" shapeId="0">
      <text>
        <r>
          <rPr>
            <sz val="12"/>
            <color indexed="81"/>
            <rFont val="Tahoma"/>
            <family val="2"/>
          </rPr>
          <t>costo de no invertir el valor de la tierra a 4%</t>
        </r>
      </text>
    </comment>
    <comment ref="A86" authorId="0" shapeId="0">
      <text>
        <r>
          <rPr>
            <sz val="14"/>
            <color indexed="81"/>
            <rFont val="Tahoma"/>
            <family val="2"/>
          </rPr>
          <t>costos directos+indirectos+de oportunidad de la tierra = costo de venta de cafe para ser competitivo</t>
        </r>
      </text>
    </comment>
    <comment ref="B90" authorId="0" shapeId="0">
      <text>
        <r>
          <rPr>
            <sz val="9"/>
            <color indexed="81"/>
            <rFont val="Tahoma"/>
            <family val="2"/>
          </rPr>
          <t>nb de meses entre hoy y el inicio de la cosecha</t>
        </r>
      </text>
    </comment>
    <comment ref="A92" authorId="0" shapeId="0">
      <text>
        <r>
          <rPr>
            <sz val="9"/>
            <color indexed="81"/>
            <rFont val="Tahoma"/>
            <family val="2"/>
          </rPr>
          <t>Se usa la incidencia con condiciones no favorables (conservador)</t>
        </r>
      </text>
    </comment>
  </commentList>
</comments>
</file>

<file path=xl/comments2.xml><?xml version="1.0" encoding="utf-8"?>
<comments xmlns="http://schemas.openxmlformats.org/spreadsheetml/2006/main">
  <authors>
    <author>Gregoire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Gregoire:</t>
        </r>
        <r>
          <rPr>
            <sz val="9"/>
            <color indexed="81"/>
            <rFont val="Tahoma"/>
            <family val="2"/>
          </rPr>
          <t xml:space="preserve">
aqui metemos lo mismo que en IPSIM.  No se si agregar una categoria "muy favorable?"
</t>
        </r>
      </text>
    </comment>
  </commentList>
</comments>
</file>

<file path=xl/sharedStrings.xml><?xml version="1.0" encoding="utf-8"?>
<sst xmlns="http://schemas.openxmlformats.org/spreadsheetml/2006/main" count="532" uniqueCount="281">
  <si>
    <t>mois</t>
  </si>
  <si>
    <t>Inc.Normalisée</t>
  </si>
  <si>
    <t>INGRESOS TOTAL por año</t>
  </si>
  <si>
    <t>MARGEN ANUAL ESTIMADA CON ROYA Año 1 ($)</t>
  </si>
  <si>
    <t>MARGEN ANUAL ESTIMADA CON ROYA Año 2 ($)</t>
  </si>
  <si>
    <t>OJO DEPEND DE l'ALTITUDE</t>
  </si>
  <si>
    <t>mes</t>
  </si>
  <si>
    <t>Tipo de productor</t>
  </si>
  <si>
    <t>Inc.Normalizado</t>
  </si>
  <si>
    <t>Mes.Max</t>
  </si>
  <si>
    <t>incidence</t>
  </si>
  <si>
    <t>Derivada inc.historico</t>
  </si>
  <si>
    <t>inc.historico</t>
  </si>
  <si>
    <t>Derivada normalizada (%)</t>
  </si>
  <si>
    <t>Normal</t>
  </si>
  <si>
    <t>Favorable</t>
  </si>
  <si>
    <t>Desfavorable</t>
  </si>
  <si>
    <t>crecimiento de roya</t>
  </si>
  <si>
    <t>inc.norm.favorable</t>
  </si>
  <si>
    <t>Pronosticos crecimiento roya</t>
  </si>
  <si>
    <t>inc.norm.normal</t>
  </si>
  <si>
    <t>inc.norm.desfavorable</t>
  </si>
  <si>
    <t>inc (mes+1)</t>
  </si>
  <si>
    <t>inc (mes)</t>
  </si>
  <si>
    <t>INCIDENCIA MAXIMA FAVORABLE</t>
  </si>
  <si>
    <t>INCIDENCIA MAXIMA DESFAVORABLE</t>
  </si>
  <si>
    <t>que pasa si la cosecha esta en abril?... Empezar la serie con el mes con el minimo historico de roya?</t>
  </si>
  <si>
    <t>factor -&gt;</t>
  </si>
  <si>
    <t>Precio de venta del café ($/q)</t>
  </si>
  <si>
    <t>favorables a roya</t>
  </si>
  <si>
    <t>no favorables a roya</t>
  </si>
  <si>
    <t>ahorro u otros ingresos ($/año)</t>
  </si>
  <si>
    <t>para posible ajustes de la incidencia de roya</t>
  </si>
  <si>
    <t>Incidencia maximal pronosticada (%)</t>
  </si>
  <si>
    <t>costo de producción ($)</t>
  </si>
  <si>
    <t>aqui Salida IPSIM para referencia</t>
  </si>
  <si>
    <t>alquiler de la tierra, otro uso mas rentable</t>
  </si>
  <si>
    <t>Caracteristicas del sistema de produccion</t>
  </si>
  <si>
    <t>Variables externas</t>
  </si>
  <si>
    <t xml:space="preserve"> define los niveles IPSIM. capital para iniciar el proximo anio?</t>
  </si>
  <si>
    <t>quintal = 46kg o 100 libras; precio justo es 140</t>
  </si>
  <si>
    <t>IPSIM nos da las predicciones para el mes siguiente. Otro umbral aqui?</t>
  </si>
  <si>
    <t>Comentario</t>
  </si>
  <si>
    <t>variable de ajuste</t>
  </si>
  <si>
    <t>cosecha depende del ingreso esperado… o indirectamente del precio del cafe...variable de ajuste…</t>
  </si>
  <si>
    <t xml:space="preserve"> Indicencia observada %</t>
  </si>
  <si>
    <t>Condiciones IPSIM</t>
  </si>
  <si>
    <t>cosecha</t>
  </si>
  <si>
    <t>periodo</t>
  </si>
  <si>
    <t>multiplicar por numero de familias asi en la region</t>
  </si>
  <si>
    <t>mas altitud: roya empieza despues y se desarrolla mas lentamente</t>
  </si>
  <si>
    <t>SAN..Canasta a veces para familia promedio (4-5)</t>
  </si>
  <si>
    <t>relacion con salario minimo? Usar sueldo minimo?</t>
  </si>
  <si>
    <t>Indicadores Economicos (año en curso)</t>
  </si>
  <si>
    <t>agregar alimentaicon jornales?</t>
  </si>
  <si>
    <t>Valor agregado de los productores de la region para la sociedad</t>
  </si>
  <si>
    <t>factor de correccion por altitud?</t>
  </si>
  <si>
    <t>ingresar dato</t>
  </si>
  <si>
    <t>aqui poner X - Salida IPSIM para referencia</t>
  </si>
  <si>
    <t>costos directos+indirectos+de oportunidad de la tierra = costo de venta de cafe para ser competitivo</t>
  </si>
  <si>
    <t>codigo de color para indicadores economicos?</t>
  </si>
  <si>
    <t>Precio del cafe</t>
  </si>
  <si>
    <t>lleva a hambre y/o stress y ajustes (ver variables de ajuste)</t>
  </si>
  <si>
    <t>deberia haber un modulo para estimar ETC - variable de ajuste?</t>
  </si>
  <si>
    <t>ver estudio promecafe-variable de ajuste?</t>
  </si>
  <si>
    <t>Crisis</t>
  </si>
  <si>
    <t>INCIDENCIA MAXIMA CRISIS</t>
  </si>
  <si>
    <t>inc.norm.crisis</t>
  </si>
  <si>
    <t>en condiciones normales y roya normal deberia dar  $D$10?</t>
  </si>
  <si>
    <t>negativo es perdida; respeto a condiciones normales</t>
  </si>
  <si>
    <t>subsidios en caso de crisis?</t>
  </si>
  <si>
    <t>mucho menos que en estudio de PROMECAFE… que tamano de finca?</t>
  </si>
  <si>
    <t>quizas solo este importa? Que codigo de color para alertas socio-economicas? Un nivel mas para crisis?</t>
  </si>
  <si>
    <t>enero</t>
  </si>
  <si>
    <t>febrero</t>
  </si>
  <si>
    <t>marzo</t>
  </si>
  <si>
    <t>abril</t>
  </si>
  <si>
    <t>mayo</t>
  </si>
  <si>
    <t>junio</t>
  </si>
  <si>
    <t>julio</t>
  </si>
  <si>
    <t>setiembre</t>
  </si>
  <si>
    <t>octubre</t>
  </si>
  <si>
    <t>noviembre</t>
  </si>
  <si>
    <t>diciembre</t>
  </si>
  <si>
    <t>agosto</t>
  </si>
  <si>
    <t>numero</t>
  </si>
  <si>
    <t>nombre</t>
  </si>
  <si>
    <t>ojo: ya no es "sin roya"; ojo: "normal" para roya no significa "normal" en termino de clima… relacion con carga fructifera…</t>
  </si>
  <si>
    <t>variable de ajuste; ojo con los indicadores economicos</t>
  </si>
  <si>
    <t>para  este sistema de produccion. = se usa para estimar "perdidas". Es variable de ajuste?</t>
  </si>
  <si>
    <t>lleva a migracion de jovenes o van como jornaleo?  Comparar con jornaleo</t>
  </si>
  <si>
    <t>INCIDENCIA MAXIMA MORMAL</t>
  </si>
  <si>
    <t>Entrada de IPSIM (calidad manejo-con roya normal)</t>
  </si>
  <si>
    <t>normal</t>
  </si>
  <si>
    <t>favorable</t>
  </si>
  <si>
    <t>desfavorable</t>
  </si>
  <si>
    <t>crisis</t>
  </si>
  <si>
    <t>variedad suceptible o resistente???</t>
  </si>
  <si>
    <t>variedad??</t>
  </si>
  <si>
    <t>Manejo (dias-hombre/ha)</t>
  </si>
  <si>
    <t>cosecha (dias-hombre/q)</t>
  </si>
  <si>
    <t>290 en guatemala (355 en HON), se usa para indicadores economicos</t>
  </si>
  <si>
    <t>relacion con control de roya? Y tipo de productor</t>
  </si>
  <si>
    <t>ingresos esperado del cafe con roya normal año 1 ($)</t>
  </si>
  <si>
    <t>muy favorable a roya</t>
  </si>
  <si>
    <t>PRONOSTICO CON TRATAMIENTO EXTRA</t>
  </si>
  <si>
    <t>con manejo xtra roya</t>
  </si>
  <si>
    <t>Valor agregado del productor para la sociedad (margen+alim.familia+costo jornales)</t>
  </si>
  <si>
    <t>(Margen+alim)/persona (familia)</t>
  </si>
  <si>
    <t>SAN: (margen+alim)/canasta basica (familia)</t>
  </si>
  <si>
    <t>area en produccion (ha)</t>
  </si>
  <si>
    <t>nivel promedio de roya durante la cosecha (%)</t>
  </si>
  <si>
    <t>gasto de alimentacion familia ($/año)</t>
  </si>
  <si>
    <t>Salario diario Jornales ($/dia)</t>
  </si>
  <si>
    <t>Sueldo minimo en la ciudad ($/mes)</t>
  </si>
  <si>
    <t>MARGEN ANUAL ESPERADO con roya habitual ($)</t>
  </si>
  <si>
    <t>costo alimentacion de la familia ($/año)</t>
  </si>
  <si>
    <t>muy favoarbe</t>
  </si>
  <si>
    <t>condiciones historicas</t>
  </si>
  <si>
    <t>Precio minimo por quintal de café para cubrir costos de produccion ($/q)</t>
  </si>
  <si>
    <t>precio minimo  del café para sostenibilidad  ($/q)</t>
  </si>
  <si>
    <t>precio de venta de tierra ($/ha)</t>
  </si>
  <si>
    <t>con tratamiento</t>
  </si>
  <si>
    <t>jornales contratados cosecha</t>
  </si>
  <si>
    <t>jornales contratados manejo</t>
  </si>
  <si>
    <t>cosecha (q)</t>
  </si>
  <si>
    <t>dias/mes MO familiar</t>
  </si>
  <si>
    <t>Total jornales contratados</t>
  </si>
  <si>
    <t>MO familiar disponible</t>
  </si>
  <si>
    <t>hombres-dias manejo necesario</t>
  </si>
  <si>
    <t>hombre-dia cosecha necesario</t>
  </si>
  <si>
    <t>perdida (si negativo) o ganancia (si positivo) estimada año 1 respeto a roya normal ($)</t>
  </si>
  <si>
    <t>perdida (si negativo) o ganancia (si positivo) estimada año 2 respeto a roya normal ($)</t>
  </si>
  <si>
    <t>Costo de oportunidad de la tierra ($ por q)</t>
  </si>
  <si>
    <t>punto de equilibrio ($ por q)</t>
  </si>
  <si>
    <t>rendimiento esperado Año 1 (q/ha) cafe oro</t>
  </si>
  <si>
    <t>rendimiento esperado Año 2 (q/ha) cafe oro</t>
  </si>
  <si>
    <t xml:space="preserve">Costo de oportunidad relativo Jornaleo </t>
  </si>
  <si>
    <t>Costo de oportunidad relativo ciudad (margen+alim)/sueldo minimo (familia)</t>
  </si>
  <si>
    <t>numero de tratamientos hasta inicio cosecha</t>
  </si>
  <si>
    <t>costo de los tratamientos hasta inicio cosecha</t>
  </si>
  <si>
    <t>repetido</t>
  </si>
  <si>
    <t>Región</t>
  </si>
  <si>
    <t>Altitud promedio</t>
  </si>
  <si>
    <t>rendimiento esperado (q/ha) cafe oro</t>
  </si>
  <si>
    <t>Familia</t>
  </si>
  <si>
    <t>Producción de café</t>
  </si>
  <si>
    <t>Tipología de productor</t>
  </si>
  <si>
    <t>tamaño de la familia (num pers)</t>
  </si>
  <si>
    <t>mano de obra familiar (ETC)</t>
  </si>
  <si>
    <t>Num. familias de este tipo en la zona</t>
  </si>
  <si>
    <t>Otros costos de produccion ( $/año)</t>
  </si>
  <si>
    <t>Sistema de producción: costos</t>
  </si>
  <si>
    <t>nivel de manejo</t>
  </si>
  <si>
    <t>Costo de 1 tratamiento de roya ($/ha)</t>
  </si>
  <si>
    <t>% Costos indirectos</t>
  </si>
  <si>
    <t>Canasta basica por persona ($/mes)</t>
  </si>
  <si>
    <t>Numero de peones permanentes</t>
  </si>
  <si>
    <t>minimo</t>
  </si>
  <si>
    <t>Incidencia de Roya (promedio historico)</t>
  </si>
  <si>
    <t>incidencia (%)</t>
  </si>
  <si>
    <t>Margen minima para sostenibilidad  ($/año)</t>
  </si>
  <si>
    <t>Numero de peones tiempo completo</t>
  </si>
  <si>
    <t>ninguno</t>
  </si>
  <si>
    <t>bajo</t>
  </si>
  <si>
    <t>medio</t>
  </si>
  <si>
    <t>alto</t>
  </si>
  <si>
    <t>MO familiar + peon disponible</t>
  </si>
  <si>
    <t>Nivel de manejo</t>
  </si>
  <si>
    <t>Costo de los insumos</t>
  </si>
  <si>
    <t>regular</t>
  </si>
  <si>
    <t>roya historico</t>
  </si>
  <si>
    <t>factor</t>
  </si>
  <si>
    <t>Mes de la medicion de incidencia roya</t>
  </si>
  <si>
    <t>esconder?</t>
  </si>
  <si>
    <t>Nivel de costos de insumos</t>
  </si>
  <si>
    <t>Nivel de costo insumos: fert., fung.</t>
  </si>
  <si>
    <t>Pronostico</t>
  </si>
  <si>
    <t>condiciones hasta la cosecha</t>
  </si>
  <si>
    <t>historico referencia</t>
  </si>
  <si>
    <t>con manejo de roya</t>
  </si>
  <si>
    <t>Margen anual</t>
  </si>
  <si>
    <t>Vigilancia de incidencia de Roya</t>
  </si>
  <si>
    <t>Historico</t>
  </si>
  <si>
    <t>Valor agregado del productor</t>
  </si>
  <si>
    <t>Valor agregado de los productores de la region</t>
  </si>
  <si>
    <t>Costo de oportunidad Jornaleo</t>
  </si>
  <si>
    <t>Costo de oportunidad Ciudad</t>
  </si>
  <si>
    <t>Precio minimo del cafe para sostenibilidad</t>
  </si>
  <si>
    <t>Maximo de incidencia de roya</t>
  </si>
  <si>
    <t>USULUTAN</t>
  </si>
  <si>
    <t>Familiar</t>
  </si>
  <si>
    <t xml:space="preserve"> Numero de dias jornales</t>
  </si>
  <si>
    <t>ojo num jornales calculado para anio 1 no mas</t>
  </si>
  <si>
    <t>Jornales contratados</t>
  </si>
  <si>
    <t>Seguridad Alimentaria y Nutricional</t>
  </si>
  <si>
    <t>Ingresos netos del café</t>
  </si>
  <si>
    <t>unidad de area</t>
  </si>
  <si>
    <t>unidad de dinero</t>
  </si>
  <si>
    <t>area en produccion</t>
  </si>
  <si>
    <t>Costo de 1 tratam. Roya</t>
  </si>
  <si>
    <t>Costa Rica</t>
  </si>
  <si>
    <t>Otros costos de produccion</t>
  </si>
  <si>
    <t>rendimiento cafe</t>
  </si>
  <si>
    <t>def</t>
  </si>
  <si>
    <t>fav</t>
  </si>
  <si>
    <t>norm</t>
  </si>
  <si>
    <t>Paises</t>
  </si>
  <si>
    <t>Panama</t>
  </si>
  <si>
    <t>Nicaragua</t>
  </si>
  <si>
    <t>Honduras</t>
  </si>
  <si>
    <t>El Salvador</t>
  </si>
  <si>
    <t>Guatemala</t>
  </si>
  <si>
    <t>Republica Dominicana</t>
  </si>
  <si>
    <t>3rd Q cat1</t>
  </si>
  <si>
    <t>median Cat2</t>
  </si>
  <si>
    <t>median cat3</t>
  </si>
  <si>
    <t>median cat4</t>
  </si>
  <si>
    <t>median Cat1</t>
  </si>
  <si>
    <t>%</t>
  </si>
  <si>
    <t>unidad de medida cafe</t>
  </si>
  <si>
    <t>msnm</t>
  </si>
  <si>
    <t>familias</t>
  </si>
  <si>
    <t>Sistema de produccion: mano de obra</t>
  </si>
  <si>
    <t>personas</t>
  </si>
  <si>
    <t>tamaño de la familia</t>
  </si>
  <si>
    <t>ahorro u otros ingresos</t>
  </si>
  <si>
    <t>Ingreso total minimo para sostenibilidad</t>
  </si>
  <si>
    <t>gasto de alimentacion familia</t>
  </si>
  <si>
    <t>Salario diario Jornales</t>
  </si>
  <si>
    <t>Salario minimo ciudad</t>
  </si>
  <si>
    <t>Salario minimo campo</t>
  </si>
  <si>
    <t>peon</t>
  </si>
  <si>
    <t>cosecha (dias-hombre)</t>
  </si>
  <si>
    <t>ETC</t>
  </si>
  <si>
    <t>mano de obra familiar (Equiv.Tiempo Completo)</t>
  </si>
  <si>
    <t>Mano de obra manejo</t>
  </si>
  <si>
    <t>Costo insumos</t>
  </si>
  <si>
    <t>COSECHA</t>
  </si>
  <si>
    <t>tipo de cambio ($)</t>
  </si>
  <si>
    <t>ha</t>
  </si>
  <si>
    <t>$</t>
  </si>
  <si>
    <t>Precio del café al productor</t>
  </si>
  <si>
    <t>Canasta basica rural /persona</t>
  </si>
  <si>
    <t>Costo peones+jornales año 1($)</t>
  </si>
  <si>
    <t>Sueldo minimo rural ($/mes)</t>
  </si>
  <si>
    <t>año 1</t>
  </si>
  <si>
    <t>año 2</t>
  </si>
  <si>
    <t>PRONOSTICO año 1</t>
  </si>
  <si>
    <t>PRONOSTICO año 2</t>
  </si>
  <si>
    <t>Costo peones+jornales año 2($)</t>
  </si>
  <si>
    <t>Precio de venta tierra</t>
  </si>
  <si>
    <t>Vigilancia de incidencia de Roya Año 1</t>
  </si>
  <si>
    <t>Indicadores Economicos (año 2)</t>
  </si>
  <si>
    <t>Maximo de incidencia de roya Año pasado</t>
  </si>
  <si>
    <t>Costos de produccion ($)</t>
  </si>
  <si>
    <t>qq</t>
  </si>
  <si>
    <t>pais</t>
  </si>
  <si>
    <t>normales</t>
  </si>
  <si>
    <t>nivel de costo insumos</t>
  </si>
  <si>
    <t>"nivel.costo.insumos"</t>
  </si>
  <si>
    <t>Mano de obra</t>
  </si>
  <si>
    <t>cambiado</t>
  </si>
  <si>
    <t>erreur ici avant?</t>
  </si>
  <si>
    <t>ojo no es una variable externa!</t>
  </si>
  <si>
    <t>ojo aparece como interno al sp… podria depender de la region</t>
  </si>
  <si>
    <t>Costo de oportunidad de la tierra ($ por ha)</t>
  </si>
  <si>
    <t>cambio respeto a 13b</t>
  </si>
  <si>
    <t>cambio respreto a 13b</t>
  </si>
  <si>
    <t>corrigé g45</t>
  </si>
  <si>
    <t>aqui 20 por 0,2</t>
  </si>
  <si>
    <t>calculado, no es elmismo que en la tabla de entrada</t>
  </si>
  <si>
    <t>precio minimo por quintal de café para sostenibilidad  ($/q)</t>
  </si>
  <si>
    <t>cambiado ya no es igual a cond desfavorables</t>
  </si>
  <si>
    <t>Periodo</t>
  </si>
  <si>
    <t>despues_cosecha</t>
  </si>
  <si>
    <t>antes_cosecha</t>
  </si>
  <si>
    <t>correspionde a opcion "sistematico"</t>
  </si>
  <si>
    <t>on suppose que l'année 2 on fait la même chose quén année 1, commencer à traiter le même mois avec 5% roille</t>
  </si>
  <si>
    <t>changé</t>
  </si>
  <si>
    <t>&lt;- podria ir en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</si>
</sst>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_ ;_-[$$-409]* \-#,##0\ ;_-[$$-409]* &quot;-&quot;??_ ;_-@_ "/>
    <numFmt numFmtId="166" formatCode="0.0"/>
    <numFmt numFmtId="167" formatCode="_-[$$-409]* #,##0.00_ ;_-[$$-409]* \-#,##0.00\ ;_-[$$-409]* &quot;-&quot;??_ ;_-@_ "/>
    <numFmt numFmtId="168" formatCode="[$$-409]#,##0"/>
    <numFmt numFmtId="169" formatCode="[$$-409]#,##0_ ;\-[$$-409]#,##0\ "/>
    <numFmt numFmtId="170" formatCode="_-* #,##0\ _€_-;\-* #,##0\ _€_-;_-* &quot;-&quot;??\ _€_-;_-@_-"/>
    <numFmt numFmtId="171" formatCode="0.0&quot; q/ha&quot;"/>
    <numFmt numFmtId="172" formatCode="0&quot; msnm&quot;"/>
    <numFmt numFmtId="173" formatCode="0&quot; %&quot;"/>
    <numFmt numFmtId="174" formatCode="0&quot; $/ha&quot;"/>
    <numFmt numFmtId="175" formatCode="0&quot; $&quot;"/>
    <numFmt numFmtId="176" formatCode="0&quot; $/q&quot;"/>
    <numFmt numFmtId="177" formatCode="0&quot; d.h/q&quot;"/>
    <numFmt numFmtId="178" formatCode="0&quot; $/p/mes&quot;"/>
    <numFmt numFmtId="179" formatCode="0&quot; $/año&quot;"/>
    <numFmt numFmtId="180" formatCode="0&quot; $/mes&quot;"/>
    <numFmt numFmtId="181" formatCode="0&quot; $/dia&quot;"/>
    <numFmt numFmtId="182" formatCode="0&quot; dias&quot;"/>
    <numFmt numFmtId="183" formatCode="0.0&quot; M$&quot;"/>
    <numFmt numFmtId="184" formatCode="[=0]0.0;General"/>
    <numFmt numFmtId="185" formatCode="0&quot; M&quot;"/>
    <numFmt numFmtId="186" formatCode="_-* #,##0.0\ _€_-;\-* #,##0.0\ _€_-;_-* &quot;-&quot;??\ _€_-;_-@_-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58585A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4"/>
      <color rgb="FF7030A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name val="Calibri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43E0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CC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n">
        <color theme="0"/>
      </bottom>
      <diagonal/>
    </border>
    <border>
      <left/>
      <right/>
      <top style="thick">
        <color indexed="64"/>
      </top>
      <bottom style="thin">
        <color theme="0"/>
      </bottom>
      <diagonal/>
    </border>
    <border>
      <left/>
      <right style="thick">
        <color indexed="64"/>
      </right>
      <top style="thick">
        <color indexed="64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indexed="64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auto="1"/>
      </bottom>
      <diagonal/>
    </border>
    <border>
      <left/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/>
      <top style="thick">
        <color auto="1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ck">
        <color indexed="64"/>
      </left>
      <right/>
      <top style="thin">
        <color theme="0"/>
      </top>
      <bottom/>
      <diagonal/>
    </border>
    <border>
      <left/>
      <right style="thick">
        <color indexed="64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indexed="64"/>
      </bottom>
      <diagonal/>
    </border>
    <border>
      <left style="thin">
        <color theme="0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thick">
        <color indexed="64"/>
      </left>
      <right/>
      <top style="thin">
        <color theme="0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n">
        <color theme="0"/>
      </left>
      <right style="thin">
        <color theme="0"/>
      </right>
      <top style="thick">
        <color indexed="64"/>
      </top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n">
        <color theme="0"/>
      </right>
      <top/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587">
    <xf numFmtId="0" fontId="0" fillId="0" borderId="0" xfId="0"/>
    <xf numFmtId="0" fontId="1" fillId="2" borderId="0" xfId="0" applyFont="1" applyFill="1" applyProtection="1"/>
    <xf numFmtId="0" fontId="16" fillId="11" borderId="38" xfId="0" applyFont="1" applyFill="1" applyBorder="1" applyAlignment="1" applyProtection="1">
      <alignment horizontal="center" vertical="center" wrapText="1"/>
    </xf>
    <xf numFmtId="0" fontId="0" fillId="17" borderId="0" xfId="0" applyFill="1"/>
    <xf numFmtId="0" fontId="1" fillId="17" borderId="0" xfId="0" applyFont="1" applyFill="1"/>
    <xf numFmtId="167" fontId="3" fillId="0" borderId="0" xfId="0" applyNumberFormat="1" applyFont="1" applyFill="1" applyBorder="1" applyAlignment="1" applyProtection="1">
      <alignment horizontal="right"/>
    </xf>
    <xf numFmtId="0" fontId="1" fillId="12" borderId="0" xfId="0" applyFont="1" applyFill="1" applyAlignment="1" applyProtection="1">
      <alignment horizontal="center"/>
    </xf>
    <xf numFmtId="0" fontId="1" fillId="12" borderId="0" xfId="0" applyFont="1" applyFill="1" applyProtection="1"/>
    <xf numFmtId="0" fontId="6" fillId="13" borderId="0" xfId="0" applyFont="1" applyFill="1" applyAlignment="1" applyProtection="1">
      <alignment horizontal="center"/>
    </xf>
    <xf numFmtId="0" fontId="0" fillId="0" borderId="0" xfId="0" applyProtection="1"/>
    <xf numFmtId="0" fontId="0" fillId="2" borderId="0" xfId="0" applyFill="1" applyProtection="1"/>
    <xf numFmtId="0" fontId="0" fillId="12" borderId="0" xfId="0" applyFill="1" applyAlignment="1" applyProtection="1">
      <alignment horizontal="center"/>
    </xf>
    <xf numFmtId="1" fontId="1" fillId="12" borderId="0" xfId="0" applyNumberFormat="1" applyFont="1" applyFill="1" applyAlignment="1" applyProtection="1">
      <alignment horizontal="center"/>
    </xf>
    <xf numFmtId="1" fontId="6" fillId="13" borderId="0" xfId="0" applyNumberFormat="1" applyFont="1" applyFill="1" applyAlignment="1" applyProtection="1">
      <alignment horizontal="center"/>
    </xf>
    <xf numFmtId="1" fontId="6" fillId="0" borderId="0" xfId="0" applyNumberFormat="1" applyFont="1" applyAlignment="1" applyProtection="1">
      <alignment horizontal="center"/>
    </xf>
    <xf numFmtId="0" fontId="0" fillId="15" borderId="0" xfId="0" applyFill="1" applyProtection="1"/>
    <xf numFmtId="1" fontId="1" fillId="15" borderId="0" xfId="0" applyNumberFormat="1" applyFont="1" applyFill="1" applyAlignment="1" applyProtection="1">
      <alignment horizontal="center"/>
    </xf>
    <xf numFmtId="0" fontId="0" fillId="12" borderId="0" xfId="0" applyFill="1" applyProtection="1"/>
    <xf numFmtId="0" fontId="0" fillId="13" borderId="0" xfId="0" applyFill="1" applyProtection="1"/>
    <xf numFmtId="0" fontId="0" fillId="11" borderId="0" xfId="0" applyFill="1" applyProtection="1"/>
    <xf numFmtId="1" fontId="1" fillId="11" borderId="0" xfId="0" applyNumberFormat="1" applyFont="1" applyFill="1" applyAlignment="1" applyProtection="1">
      <alignment horizontal="center"/>
    </xf>
    <xf numFmtId="0" fontId="0" fillId="4" borderId="0" xfId="0" applyFill="1" applyProtection="1"/>
    <xf numFmtId="1" fontId="1" fillId="4" borderId="0" xfId="0" applyNumberFormat="1" applyFont="1" applyFill="1" applyAlignment="1" applyProtection="1">
      <alignment horizontal="center"/>
    </xf>
    <xf numFmtId="0" fontId="0" fillId="16" borderId="0" xfId="0" applyFill="1" applyProtection="1"/>
    <xf numFmtId="1" fontId="1" fillId="16" borderId="0" xfId="0" applyNumberFormat="1" applyFont="1" applyFill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/>
    </xf>
    <xf numFmtId="0" fontId="3" fillId="2" borderId="0" xfId="0" applyFont="1" applyFill="1" applyProtection="1"/>
    <xf numFmtId="0" fontId="3" fillId="0" borderId="0" xfId="0" applyFont="1" applyProtection="1"/>
    <xf numFmtId="0" fontId="10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right"/>
    </xf>
    <xf numFmtId="0" fontId="11" fillId="0" borderId="0" xfId="0" applyFont="1" applyProtection="1"/>
    <xf numFmtId="0" fontId="11" fillId="0" borderId="0" xfId="0" applyFont="1" applyFill="1" applyBorder="1" applyAlignment="1" applyProtection="1">
      <alignment horizontal="right"/>
    </xf>
    <xf numFmtId="0" fontId="12" fillId="0" borderId="0" xfId="0" applyFont="1" applyProtection="1"/>
    <xf numFmtId="167" fontId="11" fillId="0" borderId="0" xfId="1" applyNumberFormat="1" applyFont="1" applyFill="1" applyBorder="1" applyAlignment="1" applyProtection="1">
      <alignment horizontal="right"/>
    </xf>
    <xf numFmtId="0" fontId="11" fillId="0" borderId="0" xfId="0" applyFont="1" applyFill="1" applyBorder="1" applyAlignment="1" applyProtection="1"/>
    <xf numFmtId="0" fontId="11" fillId="0" borderId="0" xfId="0" applyFont="1" applyAlignment="1" applyProtection="1"/>
    <xf numFmtId="9" fontId="11" fillId="0" borderId="0" xfId="2" applyFont="1" applyFill="1" applyBorder="1" applyAlignment="1" applyProtection="1">
      <alignment horizontal="right"/>
    </xf>
    <xf numFmtId="0" fontId="3" fillId="0" borderId="0" xfId="0" applyFont="1" applyAlignment="1" applyProtection="1"/>
    <xf numFmtId="165" fontId="11" fillId="0" borderId="0" xfId="0" applyNumberFormat="1" applyFont="1" applyFill="1" applyBorder="1" applyAlignment="1" applyProtection="1">
      <alignment horizontal="right"/>
    </xf>
    <xf numFmtId="0" fontId="12" fillId="0" borderId="0" xfId="0" applyFont="1" applyAlignment="1" applyProtection="1"/>
    <xf numFmtId="165" fontId="3" fillId="0" borderId="0" xfId="0" applyNumberFormat="1" applyFont="1" applyFill="1" applyBorder="1" applyAlignment="1" applyProtection="1">
      <alignment horizontal="right"/>
    </xf>
    <xf numFmtId="167" fontId="3" fillId="0" borderId="0" xfId="0" applyNumberFormat="1" applyFont="1" applyProtection="1"/>
    <xf numFmtId="165" fontId="4" fillId="0" borderId="11" xfId="0" applyNumberFormat="1" applyFont="1" applyFill="1" applyBorder="1" applyAlignment="1" applyProtection="1">
      <alignment horizontal="right"/>
    </xf>
    <xf numFmtId="165" fontId="4" fillId="0" borderId="0" xfId="0" applyNumberFormat="1" applyFont="1" applyFill="1" applyBorder="1" applyAlignment="1" applyProtection="1">
      <alignment horizontal="right"/>
    </xf>
    <xf numFmtId="165" fontId="3" fillId="0" borderId="4" xfId="1" applyNumberFormat="1" applyFont="1" applyBorder="1" applyAlignment="1" applyProtection="1">
      <alignment horizontal="right"/>
    </xf>
    <xf numFmtId="165" fontId="3" fillId="0" borderId="0" xfId="1" applyNumberFormat="1" applyFont="1" applyFill="1" applyBorder="1" applyAlignment="1" applyProtection="1">
      <alignment horizontal="right"/>
    </xf>
    <xf numFmtId="165" fontId="9" fillId="0" borderId="11" xfId="0" applyNumberFormat="1" applyFont="1" applyFill="1" applyBorder="1" applyAlignment="1" applyProtection="1">
      <alignment horizontal="right"/>
    </xf>
    <xf numFmtId="165" fontId="9" fillId="0" borderId="0" xfId="0" applyNumberFormat="1" applyFont="1" applyFill="1" applyBorder="1" applyAlignment="1" applyProtection="1">
      <alignment horizontal="right"/>
    </xf>
    <xf numFmtId="0" fontId="23" fillId="0" borderId="0" xfId="0" applyFont="1" applyProtection="1"/>
    <xf numFmtId="0" fontId="18" fillId="15" borderId="38" xfId="0" applyFont="1" applyFill="1" applyBorder="1" applyAlignment="1" applyProtection="1">
      <alignment horizontal="center" vertical="center" wrapText="1"/>
    </xf>
    <xf numFmtId="0" fontId="18" fillId="4" borderId="20" xfId="0" applyFont="1" applyFill="1" applyBorder="1" applyAlignment="1" applyProtection="1">
      <alignment horizontal="center" vertical="center" wrapText="1"/>
    </xf>
    <xf numFmtId="0" fontId="18" fillId="16" borderId="17" xfId="0" applyFont="1" applyFill="1" applyBorder="1" applyAlignment="1" applyProtection="1">
      <alignment horizontal="center" vertical="center" wrapText="1"/>
    </xf>
    <xf numFmtId="166" fontId="3" fillId="11" borderId="1" xfId="1" applyNumberFormat="1" applyFont="1" applyFill="1" applyBorder="1" applyAlignment="1" applyProtection="1">
      <alignment horizontal="center"/>
    </xf>
    <xf numFmtId="166" fontId="3" fillId="15" borderId="1" xfId="1" applyNumberFormat="1" applyFont="1" applyFill="1" applyBorder="1" applyAlignment="1" applyProtection="1">
      <alignment horizontal="center"/>
    </xf>
    <xf numFmtId="166" fontId="3" fillId="4" borderId="5" xfId="1" applyNumberFormat="1" applyFont="1" applyFill="1" applyBorder="1" applyAlignment="1" applyProtection="1">
      <alignment horizontal="center"/>
    </xf>
    <xf numFmtId="166" fontId="3" fillId="16" borderId="3" xfId="1" applyNumberFormat="1" applyFont="1" applyFill="1" applyBorder="1" applyAlignment="1" applyProtection="1">
      <alignment horizontal="center"/>
    </xf>
    <xf numFmtId="1" fontId="3" fillId="11" borderId="1" xfId="1" applyNumberFormat="1" applyFont="1" applyFill="1" applyBorder="1" applyAlignment="1" applyProtection="1">
      <alignment horizontal="center"/>
    </xf>
    <xf numFmtId="1" fontId="3" fillId="15" borderId="1" xfId="1" applyNumberFormat="1" applyFont="1" applyFill="1" applyBorder="1" applyAlignment="1" applyProtection="1">
      <alignment horizontal="center"/>
    </xf>
    <xf numFmtId="1" fontId="3" fillId="4" borderId="5" xfId="1" applyNumberFormat="1" applyFont="1" applyFill="1" applyBorder="1" applyAlignment="1" applyProtection="1">
      <alignment horizontal="center"/>
    </xf>
    <xf numFmtId="1" fontId="3" fillId="16" borderId="3" xfId="1" applyNumberFormat="1" applyFont="1" applyFill="1" applyBorder="1" applyAlignment="1" applyProtection="1">
      <alignment horizontal="center"/>
    </xf>
    <xf numFmtId="165" fontId="3" fillId="11" borderId="1" xfId="1" applyNumberFormat="1" applyFont="1" applyFill="1" applyBorder="1" applyAlignment="1" applyProtection="1">
      <alignment horizontal="center"/>
    </xf>
    <xf numFmtId="165" fontId="3" fillId="15" borderId="1" xfId="1" applyNumberFormat="1" applyFont="1" applyFill="1" applyBorder="1" applyAlignment="1" applyProtection="1">
      <alignment horizontal="center"/>
    </xf>
    <xf numFmtId="165" fontId="3" fillId="4" borderId="5" xfId="1" applyNumberFormat="1" applyFont="1" applyFill="1" applyBorder="1" applyAlignment="1" applyProtection="1">
      <alignment horizontal="center"/>
    </xf>
    <xf numFmtId="165" fontId="3" fillId="16" borderId="3" xfId="1" applyNumberFormat="1" applyFont="1" applyFill="1" applyBorder="1" applyAlignment="1" applyProtection="1">
      <alignment horizontal="center"/>
    </xf>
    <xf numFmtId="0" fontId="3" fillId="0" borderId="0" xfId="0" applyFont="1" applyFill="1" applyProtection="1"/>
    <xf numFmtId="165" fontId="3" fillId="11" borderId="1" xfId="0" applyNumberFormat="1" applyFont="1" applyFill="1" applyBorder="1" applyProtection="1"/>
    <xf numFmtId="165" fontId="3" fillId="15" borderId="1" xfId="0" applyNumberFormat="1" applyFont="1" applyFill="1" applyBorder="1" applyProtection="1"/>
    <xf numFmtId="165" fontId="3" fillId="4" borderId="5" xfId="0" applyNumberFormat="1" applyFont="1" applyFill="1" applyBorder="1" applyProtection="1"/>
    <xf numFmtId="165" fontId="3" fillId="16" borderId="3" xfId="0" applyNumberFormat="1" applyFont="1" applyFill="1" applyBorder="1" applyProtection="1"/>
    <xf numFmtId="165" fontId="3" fillId="11" borderId="2" xfId="0" applyNumberFormat="1" applyFont="1" applyFill="1" applyBorder="1" applyProtection="1"/>
    <xf numFmtId="165" fontId="3" fillId="15" borderId="2" xfId="0" applyNumberFormat="1" applyFont="1" applyFill="1" applyBorder="1" applyProtection="1"/>
    <xf numFmtId="165" fontId="3" fillId="4" borderId="14" xfId="0" applyNumberFormat="1" applyFont="1" applyFill="1" applyBorder="1" applyProtection="1"/>
    <xf numFmtId="165" fontId="3" fillId="16" borderId="18" xfId="0" applyNumberFormat="1" applyFont="1" applyFill="1" applyBorder="1" applyProtection="1"/>
    <xf numFmtId="165" fontId="21" fillId="0" borderId="11" xfId="0" applyNumberFormat="1" applyFont="1" applyFill="1" applyBorder="1" applyAlignment="1" applyProtection="1">
      <alignment horizontal="right"/>
    </xf>
    <xf numFmtId="0" fontId="4" fillId="0" borderId="4" xfId="0" applyFont="1" applyFill="1" applyBorder="1" applyAlignment="1" applyProtection="1">
      <alignment horizontal="right"/>
    </xf>
    <xf numFmtId="0" fontId="16" fillId="0" borderId="1" xfId="0" applyFont="1" applyBorder="1" applyAlignment="1" applyProtection="1">
      <alignment horizontal="center"/>
    </xf>
    <xf numFmtId="0" fontId="3" fillId="14" borderId="4" xfId="0" applyFont="1" applyFill="1" applyBorder="1" applyAlignment="1" applyProtection="1">
      <alignment horizontal="right" wrapText="1"/>
    </xf>
    <xf numFmtId="165" fontId="3" fillId="11" borderId="1" xfId="3" applyNumberFormat="1" applyFont="1" applyFill="1" applyBorder="1" applyAlignment="1" applyProtection="1"/>
    <xf numFmtId="165" fontId="3" fillId="15" borderId="1" xfId="3" applyNumberFormat="1" applyFont="1" applyFill="1" applyBorder="1" applyAlignment="1" applyProtection="1"/>
    <xf numFmtId="165" fontId="3" fillId="4" borderId="5" xfId="3" applyNumberFormat="1" applyFont="1" applyFill="1" applyBorder="1" applyAlignment="1" applyProtection="1"/>
    <xf numFmtId="165" fontId="3" fillId="16" borderId="3" xfId="3" applyNumberFormat="1" applyFont="1" applyFill="1" applyBorder="1" applyAlignment="1" applyProtection="1"/>
    <xf numFmtId="0" fontId="16" fillId="14" borderId="4" xfId="0" applyFont="1" applyFill="1" applyBorder="1" applyAlignment="1" applyProtection="1">
      <alignment horizontal="right" wrapText="1"/>
    </xf>
    <xf numFmtId="165" fontId="3" fillId="0" borderId="0" xfId="0" applyNumberFormat="1" applyFont="1" applyProtection="1"/>
    <xf numFmtId="0" fontId="22" fillId="14" borderId="4" xfId="0" applyFont="1" applyFill="1" applyBorder="1" applyAlignment="1" applyProtection="1">
      <alignment horizontal="right" wrapText="1"/>
    </xf>
    <xf numFmtId="0" fontId="3" fillId="0" borderId="0" xfId="0" applyFont="1" applyBorder="1" applyProtection="1"/>
    <xf numFmtId="0" fontId="3" fillId="14" borderId="4" xfId="0" applyFont="1" applyFill="1" applyBorder="1" applyAlignment="1" applyProtection="1">
      <alignment horizontal="right"/>
    </xf>
    <xf numFmtId="0" fontId="20" fillId="14" borderId="4" xfId="0" applyFont="1" applyFill="1" applyBorder="1" applyAlignment="1" applyProtection="1">
      <alignment horizontal="right"/>
    </xf>
    <xf numFmtId="0" fontId="3" fillId="14" borderId="13" xfId="0" applyFont="1" applyFill="1" applyBorder="1" applyAlignment="1" applyProtection="1">
      <alignment horizontal="right"/>
    </xf>
    <xf numFmtId="0" fontId="3" fillId="2" borderId="0" xfId="0" applyFont="1" applyFill="1" applyBorder="1" applyProtection="1"/>
    <xf numFmtId="0" fontId="1" fillId="8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 wrapText="1"/>
    </xf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0" fillId="6" borderId="0" xfId="0" applyFill="1" applyProtection="1"/>
    <xf numFmtId="2" fontId="0" fillId="9" borderId="0" xfId="1" applyNumberFormat="1" applyFont="1" applyFill="1" applyProtection="1"/>
    <xf numFmtId="9" fontId="0" fillId="9" borderId="0" xfId="2" applyFont="1" applyFill="1" applyProtection="1"/>
    <xf numFmtId="164" fontId="0" fillId="0" borderId="0" xfId="1" applyFont="1" applyProtection="1"/>
    <xf numFmtId="0" fontId="1" fillId="2" borderId="0" xfId="0" applyFont="1" applyFill="1" applyAlignment="1" applyProtection="1">
      <alignment horizontal="center"/>
    </xf>
    <xf numFmtId="0" fontId="0" fillId="3" borderId="0" xfId="0" applyFill="1" applyProtection="1"/>
    <xf numFmtId="164" fontId="0" fillId="2" borderId="0" xfId="1" applyFont="1" applyFill="1" applyProtection="1"/>
    <xf numFmtId="0" fontId="0" fillId="2" borderId="0" xfId="0" applyFill="1" applyAlignment="1" applyProtection="1">
      <alignment horizontal="right"/>
    </xf>
    <xf numFmtId="0" fontId="4" fillId="0" borderId="0" xfId="0" applyFont="1" applyProtection="1"/>
    <xf numFmtId="0" fontId="1" fillId="11" borderId="0" xfId="0" applyFont="1" applyFill="1" applyAlignment="1" applyProtection="1">
      <alignment horizontal="center"/>
    </xf>
    <xf numFmtId="0" fontId="0" fillId="11" borderId="0" xfId="0" applyFill="1" applyAlignment="1" applyProtection="1">
      <alignment horizontal="right"/>
    </xf>
    <xf numFmtId="0" fontId="1" fillId="10" borderId="0" xfId="0" applyFont="1" applyFill="1" applyAlignment="1" applyProtection="1">
      <alignment horizontal="center"/>
    </xf>
    <xf numFmtId="0" fontId="0" fillId="10" borderId="0" xfId="0" applyFill="1" applyAlignment="1" applyProtection="1">
      <alignment horizontal="right"/>
    </xf>
    <xf numFmtId="0" fontId="1" fillId="7" borderId="0" xfId="0" applyFont="1" applyFill="1" applyAlignment="1" applyProtection="1">
      <alignment horizontal="center"/>
    </xf>
    <xf numFmtId="0" fontId="0" fillId="7" borderId="0" xfId="0" applyFill="1" applyAlignment="1" applyProtection="1">
      <alignment horizontal="right"/>
    </xf>
    <xf numFmtId="0" fontId="1" fillId="16" borderId="0" xfId="0" applyFont="1" applyFill="1" applyAlignment="1" applyProtection="1">
      <alignment horizontal="center"/>
    </xf>
    <xf numFmtId="0" fontId="0" fillId="16" borderId="0" xfId="0" applyFill="1" applyAlignment="1" applyProtection="1">
      <alignment horizontal="right"/>
    </xf>
    <xf numFmtId="9" fontId="0" fillId="11" borderId="0" xfId="2" applyFont="1" applyFill="1" applyProtection="1"/>
    <xf numFmtId="0" fontId="0" fillId="10" borderId="0" xfId="0" applyFill="1" applyProtection="1"/>
    <xf numFmtId="9" fontId="0" fillId="10" borderId="0" xfId="0" applyNumberFormat="1" applyFill="1" applyProtection="1"/>
    <xf numFmtId="0" fontId="0" fillId="7" borderId="0" xfId="0" applyFill="1" applyProtection="1"/>
    <xf numFmtId="9" fontId="0" fillId="7" borderId="0" xfId="0" applyNumberFormat="1" applyFill="1" applyProtection="1"/>
    <xf numFmtId="9" fontId="0" fillId="16" borderId="0" xfId="0" applyNumberFormat="1" applyFill="1" applyProtection="1"/>
    <xf numFmtId="0" fontId="20" fillId="0" borderId="0" xfId="0" applyFont="1" applyProtection="1"/>
    <xf numFmtId="0" fontId="1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25" fillId="0" borderId="13" xfId="0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center" vertical="center" wrapText="1"/>
    </xf>
    <xf numFmtId="1" fontId="3" fillId="0" borderId="0" xfId="1" applyNumberFormat="1" applyFont="1" applyFill="1" applyBorder="1" applyAlignment="1" applyProtection="1">
      <alignment horizontal="center"/>
    </xf>
    <xf numFmtId="0" fontId="16" fillId="19" borderId="17" xfId="0" applyFont="1" applyFill="1" applyBorder="1" applyAlignment="1" applyProtection="1">
      <alignment horizontal="center" vertical="center" wrapText="1"/>
    </xf>
    <xf numFmtId="0" fontId="16" fillId="19" borderId="40" xfId="0" applyFont="1" applyFill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/>
    </xf>
    <xf numFmtId="169" fontId="16" fillId="19" borderId="40" xfId="0" applyNumberFormat="1" applyFont="1" applyFill="1" applyBorder="1" applyAlignment="1" applyProtection="1">
      <alignment horizontal="center" vertical="center" wrapText="1"/>
    </xf>
    <xf numFmtId="2" fontId="0" fillId="2" borderId="0" xfId="0" applyNumberFormat="1" applyFill="1" applyProtection="1"/>
    <xf numFmtId="1" fontId="3" fillId="0" borderId="0" xfId="0" applyNumberFormat="1" applyFont="1" applyProtection="1"/>
    <xf numFmtId="0" fontId="5" fillId="14" borderId="39" xfId="0" applyFont="1" applyFill="1" applyBorder="1" applyAlignment="1" applyProtection="1">
      <alignment horizontal="center" wrapText="1"/>
    </xf>
    <xf numFmtId="0" fontId="5" fillId="14" borderId="7" xfId="0" applyFont="1" applyFill="1" applyBorder="1" applyAlignment="1" applyProtection="1">
      <alignment horizontal="center" wrapText="1"/>
    </xf>
    <xf numFmtId="0" fontId="3" fillId="7" borderId="22" xfId="0" applyFont="1" applyFill="1" applyBorder="1" applyAlignment="1" applyProtection="1">
      <alignment horizontal="right"/>
    </xf>
    <xf numFmtId="0" fontId="3" fillId="7" borderId="4" xfId="0" applyFont="1" applyFill="1" applyBorder="1" applyAlignment="1" applyProtection="1">
      <alignment horizontal="right"/>
    </xf>
    <xf numFmtId="0" fontId="11" fillId="7" borderId="4" xfId="0" applyFont="1" applyFill="1" applyBorder="1" applyAlignment="1" applyProtection="1">
      <alignment horizontal="right"/>
    </xf>
    <xf numFmtId="165" fontId="11" fillId="7" borderId="4" xfId="1" applyNumberFormat="1" applyFont="1" applyFill="1" applyBorder="1" applyAlignment="1" applyProtection="1">
      <alignment horizontal="right"/>
    </xf>
    <xf numFmtId="0" fontId="3" fillId="21" borderId="22" xfId="0" applyFont="1" applyFill="1" applyBorder="1" applyAlignment="1" applyProtection="1">
      <alignment horizontal="right"/>
    </xf>
    <xf numFmtId="0" fontId="3" fillId="21" borderId="4" xfId="0" applyFont="1" applyFill="1" applyBorder="1" applyAlignment="1" applyProtection="1">
      <alignment horizontal="right"/>
    </xf>
    <xf numFmtId="165" fontId="3" fillId="21" borderId="4" xfId="0" applyNumberFormat="1" applyFont="1" applyFill="1" applyBorder="1" applyAlignment="1" applyProtection="1">
      <alignment horizontal="right"/>
    </xf>
    <xf numFmtId="165" fontId="3" fillId="21" borderId="22" xfId="0" applyNumberFormat="1" applyFont="1" applyFill="1" applyBorder="1" applyAlignment="1" applyProtection="1">
      <alignment horizontal="right"/>
    </xf>
    <xf numFmtId="0" fontId="15" fillId="0" borderId="22" xfId="0" applyFont="1" applyFill="1" applyBorder="1" applyAlignment="1" applyProtection="1">
      <alignment horizontal="right" vertical="center"/>
    </xf>
    <xf numFmtId="0" fontId="3" fillId="0" borderId="4" xfId="0" applyFont="1" applyFill="1" applyBorder="1" applyAlignment="1" applyProtection="1">
      <alignment horizontal="right"/>
    </xf>
    <xf numFmtId="165" fontId="3" fillId="0" borderId="4" xfId="0" applyNumberFormat="1" applyFont="1" applyFill="1" applyBorder="1" applyAlignment="1" applyProtection="1">
      <alignment horizontal="right"/>
    </xf>
    <xf numFmtId="0" fontId="15" fillId="0" borderId="11" xfId="0" applyFont="1" applyFill="1" applyBorder="1" applyAlignment="1" applyProtection="1">
      <alignment horizontal="right" vertical="center"/>
    </xf>
    <xf numFmtId="0" fontId="27" fillId="0" borderId="22" xfId="0" applyFont="1" applyFill="1" applyBorder="1" applyAlignment="1" applyProtection="1">
      <alignment horizontal="right" vertical="center"/>
    </xf>
    <xf numFmtId="0" fontId="8" fillId="20" borderId="11" xfId="0" applyFont="1" applyFill="1" applyBorder="1" applyAlignment="1" applyProtection="1">
      <alignment horizontal="right"/>
    </xf>
    <xf numFmtId="0" fontId="8" fillId="20" borderId="4" xfId="0" applyFont="1" applyFill="1" applyBorder="1" applyAlignment="1" applyProtection="1">
      <alignment horizontal="right" wrapText="1"/>
    </xf>
    <xf numFmtId="0" fontId="8" fillId="20" borderId="13" xfId="0" applyFont="1" applyFill="1" applyBorder="1" applyAlignment="1" applyProtection="1">
      <alignment horizontal="right" wrapText="1"/>
    </xf>
    <xf numFmtId="0" fontId="10" fillId="20" borderId="25" xfId="0" applyFont="1" applyFill="1" applyBorder="1" applyAlignment="1" applyProtection="1">
      <alignment horizontal="right" vertical="center"/>
    </xf>
    <xf numFmtId="0" fontId="3" fillId="20" borderId="25" xfId="0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Alignment="1" applyProtection="1">
      <alignment horizontal="center"/>
    </xf>
    <xf numFmtId="0" fontId="3" fillId="14" borderId="28" xfId="0" applyFont="1" applyFill="1" applyBorder="1" applyAlignment="1" applyProtection="1">
      <alignment horizontal="right"/>
    </xf>
    <xf numFmtId="170" fontId="0" fillId="0" borderId="0" xfId="0" applyNumberFormat="1" applyProtection="1"/>
    <xf numFmtId="0" fontId="21" fillId="7" borderId="4" xfId="0" applyFont="1" applyFill="1" applyBorder="1" applyAlignment="1" applyProtection="1">
      <alignment horizontal="right"/>
    </xf>
    <xf numFmtId="165" fontId="30" fillId="11" borderId="1" xfId="3" applyNumberFormat="1" applyFont="1" applyFill="1" applyBorder="1" applyAlignment="1" applyProtection="1">
      <alignment horizontal="right"/>
    </xf>
    <xf numFmtId="165" fontId="30" fillId="15" borderId="1" xfId="3" applyNumberFormat="1" applyFont="1" applyFill="1" applyBorder="1" applyAlignment="1" applyProtection="1">
      <alignment horizontal="right"/>
    </xf>
    <xf numFmtId="165" fontId="30" fillId="4" borderId="5" xfId="3" applyNumberFormat="1" applyFont="1" applyFill="1" applyBorder="1" applyAlignment="1" applyProtection="1">
      <alignment horizontal="right"/>
    </xf>
    <xf numFmtId="165" fontId="30" fillId="16" borderId="3" xfId="3" applyNumberFormat="1" applyFont="1" applyFill="1" applyBorder="1" applyAlignment="1" applyProtection="1">
      <alignment horizontal="right"/>
    </xf>
    <xf numFmtId="165" fontId="3" fillId="0" borderId="11" xfId="0" applyNumberFormat="1" applyFont="1" applyFill="1" applyBorder="1" applyAlignment="1" applyProtection="1">
      <alignment horizontal="right"/>
    </xf>
    <xf numFmtId="0" fontId="3" fillId="0" borderId="13" xfId="0" applyFont="1" applyFill="1" applyBorder="1" applyAlignment="1" applyProtection="1">
      <alignment horizontal="right"/>
    </xf>
    <xf numFmtId="1" fontId="3" fillId="19" borderId="18" xfId="1" applyNumberFormat="1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left"/>
    </xf>
    <xf numFmtId="165" fontId="9" fillId="0" borderId="0" xfId="0" applyNumberFormat="1" applyFont="1" applyFill="1" applyBorder="1" applyAlignment="1" applyProtection="1">
      <alignment horizontal="left"/>
    </xf>
    <xf numFmtId="0" fontId="19" fillId="0" borderId="0" xfId="0" applyFont="1"/>
    <xf numFmtId="0" fontId="0" fillId="0" borderId="0" xfId="0" applyAlignment="1">
      <alignment vertical="center"/>
    </xf>
    <xf numFmtId="9" fontId="36" fillId="0" borderId="0" xfId="2" applyFont="1" applyFill="1" applyBorder="1" applyAlignment="1" applyProtection="1">
      <alignment horizontal="right"/>
    </xf>
    <xf numFmtId="0" fontId="36" fillId="0" borderId="0" xfId="0" applyFont="1" applyFill="1" applyProtection="1"/>
    <xf numFmtId="0" fontId="25" fillId="2" borderId="0" xfId="0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10" fillId="25" borderId="44" xfId="0" applyFont="1" applyFill="1" applyBorder="1" applyAlignment="1" applyProtection="1">
      <alignment horizontal="center"/>
    </xf>
    <xf numFmtId="0" fontId="0" fillId="22" borderId="0" xfId="0" applyFill="1" applyAlignment="1" applyProtection="1">
      <alignment horizontal="center"/>
    </xf>
    <xf numFmtId="0" fontId="0" fillId="22" borderId="0" xfId="0" applyFill="1" applyProtection="1"/>
    <xf numFmtId="0" fontId="31" fillId="20" borderId="43" xfId="0" applyNumberFormat="1" applyFont="1" applyFill="1" applyBorder="1" applyAlignment="1" applyProtection="1">
      <alignment horizontal="center" vertical="center"/>
    </xf>
    <xf numFmtId="0" fontId="24" fillId="20" borderId="43" xfId="0" applyNumberFormat="1" applyFont="1" applyFill="1" applyBorder="1" applyAlignment="1" applyProtection="1">
      <alignment horizontal="center" vertical="center"/>
    </xf>
    <xf numFmtId="0" fontId="21" fillId="20" borderId="43" xfId="0" applyNumberFormat="1" applyFont="1" applyFill="1" applyBorder="1" applyAlignment="1">
      <alignment horizontal="center" vertical="center"/>
    </xf>
    <xf numFmtId="0" fontId="0" fillId="28" borderId="0" xfId="0" applyFill="1" applyAlignment="1">
      <alignment vertical="center"/>
    </xf>
    <xf numFmtId="0" fontId="19" fillId="28" borderId="43" xfId="0" applyFont="1" applyFill="1" applyBorder="1" applyAlignment="1">
      <alignment horizontal="center" vertical="center" wrapText="1"/>
    </xf>
    <xf numFmtId="0" fontId="10" fillId="28" borderId="43" xfId="0" applyFont="1" applyFill="1" applyBorder="1" applyAlignment="1">
      <alignment horizontal="center" vertical="center" wrapText="1"/>
    </xf>
    <xf numFmtId="0" fontId="19" fillId="28" borderId="43" xfId="0" applyFont="1" applyFill="1" applyBorder="1" applyAlignment="1">
      <alignment horizontal="center" vertical="center"/>
    </xf>
    <xf numFmtId="172" fontId="10" fillId="28" borderId="43" xfId="0" applyNumberFormat="1" applyFont="1" applyFill="1" applyBorder="1" applyAlignment="1">
      <alignment horizontal="center" vertical="center"/>
    </xf>
    <xf numFmtId="172" fontId="10" fillId="28" borderId="0" xfId="0" applyNumberFormat="1" applyFont="1" applyFill="1" applyBorder="1" applyAlignment="1">
      <alignment horizontal="center" vertical="center"/>
    </xf>
    <xf numFmtId="0" fontId="19" fillId="28" borderId="0" xfId="0" applyFont="1" applyFill="1"/>
    <xf numFmtId="0" fontId="0" fillId="28" borderId="0" xfId="0" applyFill="1"/>
    <xf numFmtId="0" fontId="10" fillId="28" borderId="0" xfId="0" applyFont="1" applyFill="1" applyBorder="1" applyAlignment="1">
      <alignment horizontal="center" vertical="center"/>
    </xf>
    <xf numFmtId="171" fontId="10" fillId="28" borderId="0" xfId="0" applyNumberFormat="1" applyFont="1" applyFill="1" applyBorder="1" applyAlignment="1">
      <alignment horizontal="center" vertical="center"/>
    </xf>
    <xf numFmtId="168" fontId="10" fillId="28" borderId="0" xfId="0" applyNumberFormat="1" applyFont="1" applyFill="1" applyBorder="1" applyAlignment="1">
      <alignment horizontal="center" vertical="center"/>
    </xf>
    <xf numFmtId="0" fontId="31" fillId="27" borderId="44" xfId="0" applyNumberFormat="1" applyFont="1" applyFill="1" applyBorder="1" applyAlignment="1">
      <alignment horizontal="center" vertical="center"/>
    </xf>
    <xf numFmtId="0" fontId="33" fillId="14" borderId="37" xfId="0" applyNumberFormat="1" applyFont="1" applyFill="1" applyBorder="1" applyAlignment="1" applyProtection="1">
      <alignment horizontal="center" vertical="center"/>
      <protection locked="0"/>
    </xf>
    <xf numFmtId="0" fontId="3" fillId="14" borderId="0" xfId="0" applyFont="1" applyFill="1" applyProtection="1"/>
    <xf numFmtId="0" fontId="11" fillId="14" borderId="0" xfId="0" applyFont="1" applyFill="1" applyAlignment="1" applyProtection="1"/>
    <xf numFmtId="0" fontId="3" fillId="14" borderId="0" xfId="0" applyFont="1" applyFill="1" applyAlignment="1" applyProtection="1"/>
    <xf numFmtId="0" fontId="12" fillId="14" borderId="0" xfId="0" applyFont="1" applyFill="1" applyProtection="1"/>
    <xf numFmtId="0" fontId="12" fillId="14" borderId="0" xfId="0" applyFont="1" applyFill="1" applyAlignment="1" applyProtection="1"/>
    <xf numFmtId="166" fontId="25" fillId="14" borderId="0" xfId="0" applyNumberFormat="1" applyFont="1" applyFill="1" applyProtection="1"/>
    <xf numFmtId="0" fontId="23" fillId="14" borderId="0" xfId="0" applyFont="1" applyFill="1" applyProtection="1"/>
    <xf numFmtId="0" fontId="16" fillId="19" borderId="9" xfId="0" applyFont="1" applyFill="1" applyBorder="1" applyAlignment="1" applyProtection="1">
      <alignment horizontal="center" vertical="center" wrapText="1"/>
    </xf>
    <xf numFmtId="1" fontId="3" fillId="19" borderId="5" xfId="1" applyNumberFormat="1" applyFont="1" applyFill="1" applyBorder="1" applyAlignment="1" applyProtection="1">
      <alignment horizontal="center"/>
    </xf>
    <xf numFmtId="165" fontId="3" fillId="19" borderId="5" xfId="1" applyNumberFormat="1" applyFont="1" applyFill="1" applyBorder="1" applyAlignment="1" applyProtection="1">
      <alignment horizontal="center"/>
    </xf>
    <xf numFmtId="165" fontId="3" fillId="19" borderId="5" xfId="0" applyNumberFormat="1" applyFont="1" applyFill="1" applyBorder="1" applyProtection="1"/>
    <xf numFmtId="165" fontId="3" fillId="6" borderId="4" xfId="1" applyNumberFormat="1" applyFont="1" applyFill="1" applyBorder="1" applyAlignment="1" applyProtection="1">
      <alignment horizontal="right"/>
    </xf>
    <xf numFmtId="0" fontId="31" fillId="27" borderId="54" xfId="0" applyNumberFormat="1" applyFont="1" applyFill="1" applyBorder="1" applyAlignment="1">
      <alignment horizontal="center" vertical="center"/>
    </xf>
    <xf numFmtId="0" fontId="24" fillId="27" borderId="55" xfId="0" applyNumberFormat="1" applyFont="1" applyFill="1" applyBorder="1" applyAlignment="1">
      <alignment horizontal="center" vertical="center" wrapText="1"/>
    </xf>
    <xf numFmtId="173" fontId="8" fillId="0" borderId="37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 applyAlignment="1" applyProtection="1">
      <alignment horizontal="left"/>
    </xf>
    <xf numFmtId="0" fontId="13" fillId="11" borderId="42" xfId="0" applyFont="1" applyFill="1" applyBorder="1" applyAlignment="1" applyProtection="1">
      <alignment horizontal="center" wrapText="1"/>
    </xf>
    <xf numFmtId="0" fontId="14" fillId="15" borderId="42" xfId="0" applyFont="1" applyFill="1" applyBorder="1" applyAlignment="1" applyProtection="1">
      <alignment horizontal="center" wrapText="1"/>
    </xf>
    <xf numFmtId="0" fontId="14" fillId="4" borderId="29" xfId="0" applyFont="1" applyFill="1" applyBorder="1" applyAlignment="1" applyProtection="1">
      <alignment horizontal="center" wrapText="1"/>
    </xf>
    <xf numFmtId="0" fontId="14" fillId="16" borderId="41" xfId="0" applyFont="1" applyFill="1" applyBorder="1" applyAlignment="1" applyProtection="1">
      <alignment horizontal="center" wrapText="1"/>
    </xf>
    <xf numFmtId="0" fontId="0" fillId="28" borderId="0" xfId="0" applyFill="1" applyProtection="1"/>
    <xf numFmtId="0" fontId="24" fillId="23" borderId="37" xfId="0" applyNumberFormat="1" applyFont="1" applyFill="1" applyBorder="1" applyAlignment="1" applyProtection="1">
      <alignment horizontal="center" vertical="center" wrapText="1"/>
      <protection locked="0"/>
    </xf>
    <xf numFmtId="0" fontId="4" fillId="18" borderId="0" xfId="0" applyFont="1" applyFill="1" applyAlignment="1" applyProtection="1">
      <alignment horizontal="right"/>
    </xf>
    <xf numFmtId="0" fontId="4" fillId="22" borderId="0" xfId="0" applyFont="1" applyFill="1" applyProtection="1">
      <protection locked="0"/>
    </xf>
    <xf numFmtId="0" fontId="4" fillId="18" borderId="43" xfId="0" applyFont="1" applyFill="1" applyBorder="1" applyAlignment="1" applyProtection="1">
      <alignment horizontal="right"/>
    </xf>
    <xf numFmtId="0" fontId="4" fillId="22" borderId="43" xfId="0" applyFont="1" applyFill="1" applyBorder="1" applyProtection="1">
      <protection locked="0"/>
    </xf>
    <xf numFmtId="0" fontId="0" fillId="26" borderId="0" xfId="0" applyFill="1" applyProtection="1"/>
    <xf numFmtId="0" fontId="0" fillId="26" borderId="35" xfId="0" applyFill="1" applyBorder="1" applyProtection="1"/>
    <xf numFmtId="0" fontId="0" fillId="26" borderId="57" xfId="0" applyFill="1" applyBorder="1" applyProtection="1"/>
    <xf numFmtId="0" fontId="0" fillId="26" borderId="31" xfId="0" applyFill="1" applyBorder="1" applyProtection="1"/>
    <xf numFmtId="0" fontId="0" fillId="26" borderId="32" xfId="0" applyFill="1" applyBorder="1" applyProtection="1"/>
    <xf numFmtId="0" fontId="16" fillId="0" borderId="5" xfId="0" applyFont="1" applyBorder="1" applyAlignment="1" applyProtection="1">
      <alignment horizontal="center"/>
    </xf>
    <xf numFmtId="165" fontId="3" fillId="19" borderId="5" xfId="3" applyNumberFormat="1" applyFont="1" applyFill="1" applyBorder="1" applyAlignment="1" applyProtection="1"/>
    <xf numFmtId="165" fontId="30" fillId="19" borderId="5" xfId="3" applyNumberFormat="1" applyFont="1" applyFill="1" applyBorder="1" applyAlignment="1" applyProtection="1">
      <alignment horizontal="right"/>
    </xf>
    <xf numFmtId="166" fontId="3" fillId="19" borderId="5" xfId="1" applyNumberFormat="1" applyFont="1" applyFill="1" applyBorder="1" applyAlignment="1" applyProtection="1">
      <alignment horizontal="center"/>
    </xf>
    <xf numFmtId="165" fontId="3" fillId="19" borderId="14" xfId="0" applyNumberFormat="1" applyFont="1" applyFill="1" applyBorder="1" applyProtection="1"/>
    <xf numFmtId="0" fontId="39" fillId="26" borderId="43" xfId="0" applyFont="1" applyFill="1" applyBorder="1" applyProtection="1"/>
    <xf numFmtId="165" fontId="39" fillId="26" borderId="43" xfId="0" applyNumberFormat="1" applyFont="1" applyFill="1" applyBorder="1" applyProtection="1"/>
    <xf numFmtId="0" fontId="40" fillId="26" borderId="43" xfId="0" applyFont="1" applyFill="1" applyBorder="1" applyAlignment="1" applyProtection="1">
      <alignment horizontal="center"/>
    </xf>
    <xf numFmtId="165" fontId="39" fillId="26" borderId="43" xfId="3" applyNumberFormat="1" applyFont="1" applyFill="1" applyBorder="1" applyAlignment="1" applyProtection="1"/>
    <xf numFmtId="165" fontId="41" fillId="26" borderId="43" xfId="3" applyNumberFormat="1" applyFont="1" applyFill="1" applyBorder="1" applyAlignment="1" applyProtection="1">
      <alignment horizontal="right"/>
    </xf>
    <xf numFmtId="166" fontId="39" fillId="26" borderId="43" xfId="1" applyNumberFormat="1" applyFont="1" applyFill="1" applyBorder="1" applyAlignment="1" applyProtection="1">
      <alignment horizontal="center"/>
    </xf>
    <xf numFmtId="0" fontId="39" fillId="26" borderId="43" xfId="0" applyFont="1" applyFill="1" applyBorder="1" applyAlignment="1" applyProtection="1">
      <alignment horizontal="center" wrapText="1"/>
    </xf>
    <xf numFmtId="0" fontId="0" fillId="26" borderId="0" xfId="0" applyFill="1"/>
    <xf numFmtId="0" fontId="10" fillId="25" borderId="56" xfId="0" applyFont="1" applyFill="1" applyBorder="1" applyAlignment="1">
      <alignment horizontal="center" vertical="center"/>
    </xf>
    <xf numFmtId="0" fontId="10" fillId="18" borderId="43" xfId="0" applyFont="1" applyFill="1" applyBorder="1" applyAlignment="1" applyProtection="1">
      <alignment horizontal="right" vertical="center"/>
    </xf>
    <xf numFmtId="0" fontId="0" fillId="28" borderId="0" xfId="0" applyFill="1" applyProtection="1">
      <protection locked="0"/>
    </xf>
    <xf numFmtId="1" fontId="0" fillId="28" borderId="0" xfId="0" applyNumberFormat="1" applyFill="1" applyProtection="1"/>
    <xf numFmtId="0" fontId="0" fillId="28" borderId="0" xfId="0" applyFont="1" applyFill="1" applyAlignment="1" applyProtection="1">
      <alignment horizontal="right"/>
    </xf>
    <xf numFmtId="0" fontId="0" fillId="28" borderId="0" xfId="0" applyFont="1" applyFill="1" applyProtection="1"/>
    <xf numFmtId="0" fontId="0" fillId="28" borderId="0" xfId="0" applyFont="1" applyFill="1" applyAlignment="1" applyProtection="1">
      <alignment horizontal="right"/>
      <protection locked="0"/>
    </xf>
    <xf numFmtId="1" fontId="0" fillId="28" borderId="0" xfId="0" applyNumberFormat="1" applyFill="1" applyProtection="1">
      <protection locked="0"/>
    </xf>
    <xf numFmtId="0" fontId="1" fillId="28" borderId="0" xfId="0" applyFont="1" applyFill="1" applyProtection="1"/>
    <xf numFmtId="2" fontId="1" fillId="28" borderId="0" xfId="0" applyNumberFormat="1" applyFont="1" applyFill="1" applyProtection="1">
      <protection locked="0"/>
    </xf>
    <xf numFmtId="0" fontId="10" fillId="24" borderId="50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ill="1"/>
    <xf numFmtId="166" fontId="0" fillId="2" borderId="0" xfId="0" applyNumberFormat="1" applyFill="1"/>
    <xf numFmtId="0" fontId="23" fillId="28" borderId="0" xfId="0" applyFont="1" applyFill="1"/>
    <xf numFmtId="0" fontId="23" fillId="0" borderId="0" xfId="0" applyFont="1"/>
    <xf numFmtId="0" fontId="10" fillId="25" borderId="50" xfId="0" applyNumberFormat="1" applyFont="1" applyFill="1" applyBorder="1" applyAlignment="1" applyProtection="1">
      <alignment horizontal="right" vertical="center"/>
      <protection locked="0"/>
    </xf>
    <xf numFmtId="0" fontId="10" fillId="25" borderId="50" xfId="0" applyFont="1" applyFill="1" applyBorder="1" applyAlignment="1" applyProtection="1">
      <alignment horizontal="right" vertical="center"/>
      <protection locked="0"/>
    </xf>
    <xf numFmtId="3" fontId="5" fillId="10" borderId="50" xfId="0" applyNumberFormat="1" applyFont="1" applyFill="1" applyBorder="1" applyAlignment="1" applyProtection="1">
      <alignment horizontal="right" vertical="center"/>
      <protection locked="0"/>
    </xf>
    <xf numFmtId="0" fontId="10" fillId="10" borderId="67" xfId="0" applyFont="1" applyFill="1" applyBorder="1" applyAlignment="1" applyProtection="1">
      <alignment horizontal="right" vertical="center"/>
      <protection locked="0"/>
    </xf>
    <xf numFmtId="3" fontId="5" fillId="10" borderId="67" xfId="0" applyNumberFormat="1" applyFont="1" applyFill="1" applyBorder="1" applyAlignment="1" applyProtection="1">
      <alignment horizontal="right" vertical="center"/>
      <protection locked="0"/>
    </xf>
    <xf numFmtId="0" fontId="10" fillId="24" borderId="67" xfId="0" applyNumberFormat="1" applyFont="1" applyFill="1" applyBorder="1" applyAlignment="1" applyProtection="1">
      <alignment horizontal="right" vertical="center"/>
      <protection locked="0"/>
    </xf>
    <xf numFmtId="3" fontId="5" fillId="24" borderId="67" xfId="0" applyNumberFormat="1" applyFont="1" applyFill="1" applyBorder="1" applyAlignment="1" applyProtection="1">
      <alignment horizontal="right" vertical="center"/>
      <protection locked="0"/>
    </xf>
    <xf numFmtId="3" fontId="5" fillId="19" borderId="67" xfId="1" applyNumberFormat="1" applyFont="1" applyFill="1" applyBorder="1" applyAlignment="1" applyProtection="1">
      <alignment horizontal="right" vertical="center"/>
      <protection locked="0"/>
    </xf>
    <xf numFmtId="0" fontId="10" fillId="19" borderId="67" xfId="0" applyNumberFormat="1" applyFont="1" applyFill="1" applyBorder="1" applyAlignment="1" applyProtection="1">
      <alignment horizontal="right" vertical="center"/>
      <protection locked="0"/>
    </xf>
    <xf numFmtId="173" fontId="16" fillId="19" borderId="70" xfId="0" applyNumberFormat="1" applyFont="1" applyFill="1" applyBorder="1" applyAlignment="1" applyProtection="1">
      <alignment horizontal="left" vertical="center"/>
      <protection locked="0"/>
    </xf>
    <xf numFmtId="3" fontId="5" fillId="19" borderId="50" xfId="0" applyNumberFormat="1" applyFont="1" applyFill="1" applyBorder="1" applyAlignment="1" applyProtection="1">
      <alignment horizontal="right" vertical="center"/>
      <protection locked="0"/>
    </xf>
    <xf numFmtId="3" fontId="46" fillId="12" borderId="67" xfId="0" applyNumberFormat="1" applyFont="1" applyFill="1" applyBorder="1" applyAlignment="1" applyProtection="1">
      <alignment horizontal="right" vertical="center"/>
      <protection locked="0"/>
    </xf>
    <xf numFmtId="3" fontId="5" fillId="12" borderId="67" xfId="0" applyNumberFormat="1" applyFont="1" applyFill="1" applyBorder="1" applyAlignment="1" applyProtection="1">
      <alignment horizontal="right" vertical="center"/>
      <protection locked="0"/>
    </xf>
    <xf numFmtId="0" fontId="5" fillId="12" borderId="50" xfId="0" applyNumberFormat="1" applyFont="1" applyFill="1" applyBorder="1" applyAlignment="1" applyProtection="1">
      <alignment horizontal="right" vertical="center"/>
      <protection locked="0"/>
    </xf>
    <xf numFmtId="0" fontId="31" fillId="20" borderId="67" xfId="0" applyNumberFormat="1" applyFont="1" applyFill="1" applyBorder="1" applyAlignment="1" applyProtection="1">
      <alignment horizontal="right" vertical="center"/>
      <protection locked="0"/>
    </xf>
    <xf numFmtId="0" fontId="10" fillId="20" borderId="67" xfId="0" applyNumberFormat="1" applyFont="1" applyFill="1" applyBorder="1" applyAlignment="1" applyProtection="1">
      <alignment horizontal="right" vertical="center"/>
      <protection locked="0"/>
    </xf>
    <xf numFmtId="0" fontId="10" fillId="20" borderId="50" xfId="0" applyNumberFormat="1" applyFont="1" applyFill="1" applyBorder="1" applyAlignment="1" applyProtection="1">
      <alignment horizontal="right" vertical="center" indent="1"/>
      <protection locked="0"/>
    </xf>
    <xf numFmtId="0" fontId="10" fillId="20" borderId="50" xfId="0" applyNumberFormat="1" applyFont="1" applyFill="1" applyBorder="1" applyAlignment="1" applyProtection="1">
      <alignment horizontal="right" vertical="center"/>
      <protection locked="0"/>
    </xf>
    <xf numFmtId="0" fontId="4" fillId="14" borderId="43" xfId="0" applyFont="1" applyFill="1" applyBorder="1" applyAlignment="1" applyProtection="1">
      <alignment horizontal="right" vertical="center" wrapText="1"/>
    </xf>
    <xf numFmtId="0" fontId="16" fillId="14" borderId="43" xfId="0" applyFont="1" applyFill="1" applyBorder="1" applyAlignment="1" applyProtection="1">
      <alignment horizontal="right" wrapText="1"/>
    </xf>
    <xf numFmtId="0" fontId="10" fillId="28" borderId="43" xfId="0" applyFont="1" applyFill="1" applyBorder="1" applyAlignment="1" applyProtection="1">
      <alignment horizontal="right" vertical="center"/>
    </xf>
    <xf numFmtId="3" fontId="4" fillId="22" borderId="43" xfId="0" applyNumberFormat="1" applyFont="1" applyFill="1" applyBorder="1" applyProtection="1">
      <protection locked="0"/>
    </xf>
    <xf numFmtId="0" fontId="0" fillId="26" borderId="35" xfId="0" applyFill="1" applyBorder="1"/>
    <xf numFmtId="0" fontId="0" fillId="26" borderId="57" xfId="0" applyFill="1" applyBorder="1"/>
    <xf numFmtId="0" fontId="0" fillId="26" borderId="32" xfId="0" applyFill="1" applyBorder="1"/>
    <xf numFmtId="0" fontId="0" fillId="26" borderId="31" xfId="0" applyFill="1" applyBorder="1"/>
    <xf numFmtId="0" fontId="42" fillId="28" borderId="0" xfId="0" applyFont="1" applyFill="1" applyAlignment="1">
      <alignment horizontal="left" vertical="center" indent="1"/>
    </xf>
    <xf numFmtId="0" fontId="0" fillId="28" borderId="0" xfId="0" quotePrefix="1" applyFill="1"/>
    <xf numFmtId="184" fontId="0" fillId="28" borderId="0" xfId="0" applyNumberFormat="1" applyFill="1"/>
    <xf numFmtId="166" fontId="0" fillId="28" borderId="0" xfId="0" applyNumberFormat="1" applyFill="1"/>
    <xf numFmtId="0" fontId="43" fillId="28" borderId="0" xfId="4" applyFill="1"/>
    <xf numFmtId="0" fontId="47" fillId="26" borderId="0" xfId="0" applyFont="1" applyFill="1" applyProtection="1"/>
    <xf numFmtId="0" fontId="38" fillId="27" borderId="35" xfId="0" applyFont="1" applyFill="1" applyBorder="1" applyAlignment="1" applyProtection="1">
      <alignment horizontal="center"/>
    </xf>
    <xf numFmtId="0" fontId="32" fillId="27" borderId="35" xfId="0" applyFont="1" applyFill="1" applyBorder="1" applyAlignment="1" applyProtection="1">
      <alignment horizontal="center"/>
    </xf>
    <xf numFmtId="0" fontId="44" fillId="26" borderId="0" xfId="0" applyFont="1" applyFill="1" applyProtection="1"/>
    <xf numFmtId="175" fontId="45" fillId="12" borderId="77" xfId="0" applyNumberFormat="1" applyFont="1" applyFill="1" applyBorder="1" applyAlignment="1" applyProtection="1">
      <alignment horizontal="left" vertical="center"/>
    </xf>
    <xf numFmtId="175" fontId="45" fillId="12" borderId="32" xfId="0" applyNumberFormat="1" applyFont="1" applyFill="1" applyBorder="1" applyAlignment="1" applyProtection="1">
      <alignment horizontal="left" vertical="center"/>
    </xf>
    <xf numFmtId="0" fontId="34" fillId="26" borderId="0" xfId="0" applyFont="1" applyFill="1" applyProtection="1"/>
    <xf numFmtId="0" fontId="0" fillId="28" borderId="1" xfId="0" applyFill="1" applyBorder="1" applyProtection="1"/>
    <xf numFmtId="0" fontId="34" fillId="28" borderId="1" xfId="0" applyFont="1" applyFill="1" applyBorder="1" applyAlignment="1" applyProtection="1">
      <alignment horizontal="center"/>
    </xf>
    <xf numFmtId="0" fontId="0" fillId="28" borderId="1" xfId="0" applyFont="1" applyFill="1" applyBorder="1" applyAlignment="1" applyProtection="1">
      <alignment horizontal="center"/>
    </xf>
    <xf numFmtId="0" fontId="0" fillId="28" borderId="1" xfId="0" applyFont="1" applyFill="1" applyBorder="1" applyAlignment="1" applyProtection="1">
      <alignment horizontal="center" wrapText="1"/>
    </xf>
    <xf numFmtId="0" fontId="0" fillId="28" borderId="1" xfId="0" applyFill="1" applyBorder="1" applyAlignment="1" applyProtection="1">
      <alignment horizontal="right"/>
    </xf>
    <xf numFmtId="1" fontId="0" fillId="28" borderId="1" xfId="0" applyNumberFormat="1" applyFill="1" applyBorder="1" applyProtection="1"/>
    <xf numFmtId="0" fontId="1" fillId="28" borderId="1" xfId="0" applyFont="1" applyFill="1" applyBorder="1" applyAlignment="1" applyProtection="1">
      <alignment horizontal="right"/>
    </xf>
    <xf numFmtId="1" fontId="1" fillId="28" borderId="1" xfId="0" applyNumberFormat="1" applyFont="1" applyFill="1" applyBorder="1" applyProtection="1"/>
    <xf numFmtId="0" fontId="0" fillId="0" borderId="1" xfId="0" applyBorder="1" applyProtection="1"/>
    <xf numFmtId="0" fontId="0" fillId="0" borderId="1" xfId="0" applyBorder="1" applyAlignment="1" applyProtection="1">
      <alignment horizontal="right"/>
    </xf>
    <xf numFmtId="1" fontId="34" fillId="26" borderId="1" xfId="0" applyNumberFormat="1" applyFont="1" applyFill="1" applyBorder="1" applyProtection="1"/>
    <xf numFmtId="0" fontId="0" fillId="11" borderId="1" xfId="0" applyFill="1" applyBorder="1" applyProtection="1"/>
    <xf numFmtId="0" fontId="0" fillId="15" borderId="1" xfId="0" applyFill="1" applyBorder="1" applyProtection="1"/>
    <xf numFmtId="0" fontId="0" fillId="4" borderId="1" xfId="0" applyFill="1" applyBorder="1" applyProtection="1"/>
    <xf numFmtId="0" fontId="0" fillId="3" borderId="1" xfId="0" applyFill="1" applyBorder="1" applyProtection="1"/>
    <xf numFmtId="0" fontId="0" fillId="19" borderId="1" xfId="0" applyFill="1" applyBorder="1" applyProtection="1"/>
    <xf numFmtId="0" fontId="1" fillId="0" borderId="1" xfId="0" applyFont="1" applyBorder="1" applyAlignment="1" applyProtection="1">
      <alignment horizontal="right"/>
    </xf>
    <xf numFmtId="1" fontId="1" fillId="11" borderId="1" xfId="0" applyNumberFormat="1" applyFont="1" applyFill="1" applyBorder="1" applyProtection="1"/>
    <xf numFmtId="1" fontId="1" fillId="15" borderId="1" xfId="0" applyNumberFormat="1" applyFont="1" applyFill="1" applyBorder="1" applyProtection="1"/>
    <xf numFmtId="1" fontId="1" fillId="4" borderId="1" xfId="0" applyNumberFormat="1" applyFont="1" applyFill="1" applyBorder="1" applyProtection="1"/>
    <xf numFmtId="1" fontId="1" fillId="3" borderId="1" xfId="0" applyNumberFormat="1" applyFont="1" applyFill="1" applyBorder="1" applyProtection="1"/>
    <xf numFmtId="1" fontId="1" fillId="19" borderId="1" xfId="0" applyNumberFormat="1" applyFont="1" applyFill="1" applyBorder="1" applyProtection="1"/>
    <xf numFmtId="0" fontId="39" fillId="26" borderId="43" xfId="0" applyFont="1" applyFill="1" applyBorder="1" applyAlignment="1" applyProtection="1">
      <alignment horizontal="center"/>
    </xf>
    <xf numFmtId="0" fontId="35" fillId="28" borderId="1" xfId="0" applyFont="1" applyFill="1" applyBorder="1" applyAlignment="1" applyProtection="1">
      <alignment horizontal="right"/>
    </xf>
    <xf numFmtId="170" fontId="34" fillId="26" borderId="1" xfId="1" applyNumberFormat="1" applyFont="1" applyFill="1" applyBorder="1" applyProtection="1"/>
    <xf numFmtId="0" fontId="3" fillId="29" borderId="0" xfId="0" applyFont="1" applyFill="1" applyProtection="1"/>
    <xf numFmtId="0" fontId="3" fillId="29" borderId="0" xfId="0" applyFont="1" applyFill="1" applyBorder="1" applyProtection="1"/>
    <xf numFmtId="0" fontId="33" fillId="14" borderId="37" xfId="0" applyNumberFormat="1" applyFont="1" applyFill="1" applyBorder="1" applyAlignment="1" applyProtection="1">
      <alignment horizontal="center" vertical="center"/>
    </xf>
    <xf numFmtId="173" fontId="8" fillId="0" borderId="37" xfId="0" applyNumberFormat="1" applyFont="1" applyBorder="1" applyAlignment="1" applyProtection="1">
      <alignment horizontal="center" vertical="center"/>
    </xf>
    <xf numFmtId="0" fontId="24" fillId="23" borderId="37" xfId="0" applyNumberFormat="1" applyFont="1" applyFill="1" applyBorder="1" applyAlignment="1" applyProtection="1">
      <alignment horizontal="center" vertical="center" wrapText="1"/>
    </xf>
    <xf numFmtId="165" fontId="3" fillId="11" borderId="8" xfId="1" applyNumberFormat="1" applyFont="1" applyFill="1" applyBorder="1" applyProtection="1"/>
    <xf numFmtId="165" fontId="3" fillId="15" borderId="8" xfId="1" applyNumberFormat="1" applyFont="1" applyFill="1" applyBorder="1" applyProtection="1"/>
    <xf numFmtId="165" fontId="3" fillId="4" borderId="9" xfId="1" applyNumberFormat="1" applyFont="1" applyFill="1" applyBorder="1" applyProtection="1"/>
    <xf numFmtId="165" fontId="3" fillId="16" borderId="17" xfId="1" applyNumberFormat="1" applyFont="1" applyFill="1" applyBorder="1" applyProtection="1"/>
    <xf numFmtId="165" fontId="3" fillId="19" borderId="9" xfId="1" applyNumberFormat="1" applyFont="1" applyFill="1" applyBorder="1" applyProtection="1"/>
    <xf numFmtId="0" fontId="53" fillId="26" borderId="50" xfId="0" applyFont="1" applyFill="1" applyBorder="1" applyAlignment="1">
      <alignment horizontal="right" vertical="center"/>
    </xf>
    <xf numFmtId="0" fontId="52" fillId="26" borderId="50" xfId="0" applyFont="1" applyFill="1" applyBorder="1" applyAlignment="1">
      <alignment horizontal="center"/>
    </xf>
    <xf numFmtId="0" fontId="31" fillId="22" borderId="50" xfId="0" applyFont="1" applyFill="1" applyBorder="1" applyAlignment="1" applyProtection="1">
      <alignment horizontal="center"/>
      <protection locked="0"/>
    </xf>
    <xf numFmtId="0" fontId="31" fillId="22" borderId="50" xfId="0" applyFont="1" applyFill="1" applyBorder="1" applyAlignment="1" applyProtection="1">
      <alignment horizontal="center" vertical="center"/>
      <protection locked="0"/>
    </xf>
    <xf numFmtId="0" fontId="54" fillId="22" borderId="50" xfId="0" applyFont="1" applyFill="1" applyBorder="1" applyAlignment="1" applyProtection="1">
      <alignment horizontal="center" vertical="center"/>
      <protection locked="0"/>
    </xf>
    <xf numFmtId="3" fontId="5" fillId="12" borderId="30" xfId="0" applyNumberFormat="1" applyFont="1" applyFill="1" applyBorder="1" applyAlignment="1" applyProtection="1">
      <alignment horizontal="right" vertical="center"/>
    </xf>
    <xf numFmtId="3" fontId="5" fillId="12" borderId="78" xfId="0" applyNumberFormat="1" applyFont="1" applyFill="1" applyBorder="1" applyAlignment="1" applyProtection="1">
      <alignment horizontal="right" vertical="center"/>
    </xf>
    <xf numFmtId="3" fontId="4" fillId="12" borderId="30" xfId="0" applyNumberFormat="1" applyFont="1" applyFill="1" applyBorder="1" applyAlignment="1" applyProtection="1">
      <alignment horizontal="right" vertical="center"/>
    </xf>
    <xf numFmtId="175" fontId="4" fillId="12" borderId="77" xfId="0" applyNumberFormat="1" applyFont="1" applyFill="1" applyBorder="1" applyAlignment="1" applyProtection="1">
      <alignment horizontal="left" vertical="center"/>
    </xf>
    <xf numFmtId="3" fontId="4" fillId="12" borderId="31" xfId="0" applyNumberFormat="1" applyFont="1" applyFill="1" applyBorder="1" applyAlignment="1" applyProtection="1">
      <alignment horizontal="right" vertical="center"/>
    </xf>
    <xf numFmtId="3" fontId="4" fillId="12" borderId="78" xfId="0" applyNumberFormat="1" applyFont="1" applyFill="1" applyBorder="1" applyAlignment="1" applyProtection="1">
      <alignment horizontal="right" vertical="center"/>
    </xf>
    <xf numFmtId="175" fontId="4" fillId="12" borderId="32" xfId="0" applyNumberFormat="1" applyFont="1" applyFill="1" applyBorder="1" applyAlignment="1" applyProtection="1">
      <alignment horizontal="left" vertical="center"/>
    </xf>
    <xf numFmtId="3" fontId="4" fillId="12" borderId="79" xfId="0" applyNumberFormat="1" applyFont="1" applyFill="1" applyBorder="1" applyAlignment="1" applyProtection="1">
      <alignment horizontal="right" vertical="center"/>
    </xf>
    <xf numFmtId="175" fontId="4" fillId="12" borderId="47" xfId="0" applyNumberFormat="1" applyFont="1" applyFill="1" applyBorder="1" applyAlignment="1" applyProtection="1">
      <alignment horizontal="left" vertical="center"/>
    </xf>
    <xf numFmtId="3" fontId="4" fillId="12" borderId="46" xfId="0" applyNumberFormat="1" applyFont="1" applyFill="1" applyBorder="1" applyAlignment="1" applyProtection="1">
      <alignment horizontal="right" vertical="center"/>
    </xf>
    <xf numFmtId="3" fontId="4" fillId="12" borderId="45" xfId="0" applyNumberFormat="1" applyFont="1" applyFill="1" applyBorder="1" applyAlignment="1" applyProtection="1">
      <alignment horizontal="left" vertical="center"/>
    </xf>
    <xf numFmtId="184" fontId="48" fillId="24" borderId="68" xfId="0" applyNumberFormat="1" applyFont="1" applyFill="1" applyBorder="1" applyAlignment="1" applyProtection="1">
      <alignment horizontal="left" vertical="center"/>
    </xf>
    <xf numFmtId="176" fontId="48" fillId="24" borderId="70" xfId="0" applyNumberFormat="1" applyFont="1" applyFill="1" applyBorder="1" applyAlignment="1" applyProtection="1">
      <alignment horizontal="left" vertical="center"/>
    </xf>
    <xf numFmtId="171" fontId="48" fillId="24" borderId="59" xfId="0" applyNumberFormat="1" applyFont="1" applyFill="1" applyBorder="1" applyAlignment="1" applyProtection="1">
      <alignment horizontal="left" vertical="center"/>
    </xf>
    <xf numFmtId="0" fontId="48" fillId="25" borderId="59" xfId="0" applyFont="1" applyFill="1" applyBorder="1" applyAlignment="1" applyProtection="1">
      <alignment horizontal="left" vertical="center"/>
    </xf>
    <xf numFmtId="172" fontId="48" fillId="25" borderId="59" xfId="0" applyNumberFormat="1" applyFont="1" applyFill="1" applyBorder="1" applyAlignment="1" applyProtection="1">
      <alignment horizontal="left" vertical="center"/>
    </xf>
    <xf numFmtId="0" fontId="49" fillId="10" borderId="68" xfId="0" applyFont="1" applyFill="1" applyBorder="1" applyAlignment="1" applyProtection="1">
      <alignment horizontal="left" vertical="center"/>
    </xf>
    <xf numFmtId="179" fontId="48" fillId="10" borderId="70" xfId="0" applyNumberFormat="1" applyFont="1" applyFill="1" applyBorder="1" applyAlignment="1" applyProtection="1">
      <alignment horizontal="left" vertical="center"/>
    </xf>
    <xf numFmtId="179" fontId="48" fillId="10" borderId="61" xfId="0" applyNumberFormat="1" applyFont="1" applyFill="1" applyBorder="1" applyAlignment="1" applyProtection="1">
      <alignment horizontal="left" vertical="center"/>
    </xf>
    <xf numFmtId="179" fontId="16" fillId="19" borderId="61" xfId="0" applyNumberFormat="1" applyFont="1" applyFill="1" applyBorder="1" applyAlignment="1" applyProtection="1">
      <alignment horizontal="left" vertical="center"/>
    </xf>
    <xf numFmtId="174" fontId="48" fillId="19" borderId="68" xfId="0" applyNumberFormat="1" applyFont="1" applyFill="1" applyBorder="1" applyAlignment="1" applyProtection="1">
      <alignment horizontal="left" vertical="center"/>
    </xf>
    <xf numFmtId="0" fontId="50" fillId="20" borderId="70" xfId="0" applyNumberFormat="1" applyFont="1" applyFill="1" applyBorder="1" applyAlignment="1" applyProtection="1">
      <alignment horizontal="left" vertical="center"/>
    </xf>
    <xf numFmtId="177" fontId="48" fillId="20" borderId="70" xfId="0" applyNumberFormat="1" applyFont="1" applyFill="1" applyBorder="1" applyAlignment="1" applyProtection="1">
      <alignment horizontal="left" vertical="center"/>
    </xf>
    <xf numFmtId="0" fontId="48" fillId="20" borderId="48" xfId="0" applyNumberFormat="1" applyFont="1" applyFill="1" applyBorder="1" applyAlignment="1" applyProtection="1">
      <alignment horizontal="left" vertical="center"/>
    </xf>
    <xf numFmtId="181" fontId="48" fillId="20" borderId="59" xfId="0" applyNumberFormat="1" applyFont="1" applyFill="1" applyBorder="1" applyAlignment="1" applyProtection="1">
      <alignment horizontal="left" vertical="center"/>
    </xf>
    <xf numFmtId="178" fontId="50" fillId="12" borderId="68" xfId="0" applyNumberFormat="1" applyFont="1" applyFill="1" applyBorder="1" applyAlignment="1" applyProtection="1">
      <alignment horizontal="left" vertical="center"/>
    </xf>
    <xf numFmtId="180" fontId="48" fillId="12" borderId="70" xfId="0" applyNumberFormat="1" applyFont="1" applyFill="1" applyBorder="1" applyAlignment="1" applyProtection="1">
      <alignment horizontal="left" vertical="center"/>
    </xf>
    <xf numFmtId="176" fontId="48" fillId="12" borderId="59" xfId="0" applyNumberFormat="1" applyFont="1" applyFill="1" applyBorder="1" applyAlignment="1" applyProtection="1">
      <alignment horizontal="left" vertical="center"/>
    </xf>
    <xf numFmtId="0" fontId="55" fillId="18" borderId="0" xfId="0" applyFont="1" applyFill="1" applyProtection="1"/>
    <xf numFmtId="186" fontId="3" fillId="11" borderId="8" xfId="1" applyNumberFormat="1" applyFont="1" applyFill="1" applyBorder="1" applyProtection="1"/>
    <xf numFmtId="186" fontId="3" fillId="15" borderId="8" xfId="1" applyNumberFormat="1" applyFont="1" applyFill="1" applyBorder="1" applyProtection="1"/>
    <xf numFmtId="186" fontId="3" fillId="4" borderId="9" xfId="1" applyNumberFormat="1" applyFont="1" applyFill="1" applyBorder="1" applyProtection="1"/>
    <xf numFmtId="186" fontId="3" fillId="16" borderId="17" xfId="1" applyNumberFormat="1" applyFont="1" applyFill="1" applyBorder="1" applyProtection="1"/>
    <xf numFmtId="186" fontId="3" fillId="19" borderId="9" xfId="1" applyNumberFormat="1" applyFont="1" applyFill="1" applyBorder="1" applyProtection="1"/>
    <xf numFmtId="186" fontId="39" fillId="26" borderId="43" xfId="0" applyNumberFormat="1" applyFont="1" applyFill="1" applyBorder="1" applyProtection="1"/>
    <xf numFmtId="2" fontId="3" fillId="11" borderId="1" xfId="1" applyNumberFormat="1" applyFont="1" applyFill="1" applyBorder="1" applyAlignment="1" applyProtection="1">
      <alignment horizontal="center"/>
    </xf>
    <xf numFmtId="2" fontId="3" fillId="15" borderId="1" xfId="1" applyNumberFormat="1" applyFont="1" applyFill="1" applyBorder="1" applyAlignment="1" applyProtection="1">
      <alignment horizontal="center"/>
    </xf>
    <xf numFmtId="2" fontId="3" fillId="4" borderId="5" xfId="1" applyNumberFormat="1" applyFont="1" applyFill="1" applyBorder="1" applyAlignment="1" applyProtection="1">
      <alignment horizontal="center"/>
    </xf>
    <xf numFmtId="2" fontId="3" fillId="16" borderId="3" xfId="1" applyNumberFormat="1" applyFont="1" applyFill="1" applyBorder="1" applyAlignment="1" applyProtection="1">
      <alignment horizontal="center"/>
    </xf>
    <xf numFmtId="2" fontId="3" fillId="19" borderId="5" xfId="1" applyNumberFormat="1" applyFont="1" applyFill="1" applyBorder="1" applyAlignment="1" applyProtection="1">
      <alignment horizontal="center"/>
    </xf>
    <xf numFmtId="2" fontId="39" fillId="26" borderId="43" xfId="1" applyNumberFormat="1" applyFont="1" applyFill="1" applyBorder="1" applyAlignment="1" applyProtection="1">
      <alignment horizontal="center"/>
    </xf>
    <xf numFmtId="0" fontId="21" fillId="27" borderId="43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left" vertical="center"/>
    </xf>
    <xf numFmtId="169" fontId="22" fillId="22" borderId="5" xfId="1" applyNumberFormat="1" applyFont="1" applyFill="1" applyBorder="1" applyAlignment="1" applyProtection="1">
      <alignment horizontal="center"/>
    </xf>
    <xf numFmtId="169" fontId="22" fillId="22" borderId="7" xfId="1" applyNumberFormat="1" applyFont="1" applyFill="1" applyBorder="1" applyAlignment="1" applyProtection="1">
      <alignment horizontal="center"/>
    </xf>
    <xf numFmtId="169" fontId="3" fillId="22" borderId="5" xfId="0" applyNumberFormat="1" applyFont="1" applyFill="1" applyBorder="1" applyAlignment="1" applyProtection="1">
      <alignment horizontal="right"/>
    </xf>
    <xf numFmtId="169" fontId="3" fillId="22" borderId="7" xfId="0" applyNumberFormat="1" applyFont="1" applyFill="1" applyBorder="1" applyAlignment="1" applyProtection="1">
      <alignment horizontal="right"/>
    </xf>
    <xf numFmtId="169" fontId="3" fillId="22" borderId="19" xfId="0" applyNumberFormat="1" applyFont="1" applyFill="1" applyBorder="1" applyAlignment="1" applyProtection="1">
      <alignment horizontal="right"/>
    </xf>
    <xf numFmtId="169" fontId="22" fillId="14" borderId="5" xfId="1" applyNumberFormat="1" applyFont="1" applyFill="1" applyBorder="1" applyAlignment="1" applyProtection="1">
      <alignment horizontal="center"/>
    </xf>
    <xf numFmtId="169" fontId="22" fillId="14" borderId="7" xfId="1" applyNumberFormat="1" applyFont="1" applyFill="1" applyBorder="1" applyAlignment="1" applyProtection="1">
      <alignment horizontal="center"/>
    </xf>
    <xf numFmtId="0" fontId="11" fillId="22" borderId="5" xfId="0" applyFont="1" applyFill="1" applyBorder="1" applyAlignment="1" applyProtection="1">
      <alignment horizontal="right"/>
    </xf>
    <xf numFmtId="0" fontId="11" fillId="22" borderId="7" xfId="0" applyFont="1" applyFill="1" applyBorder="1" applyAlignment="1" applyProtection="1">
      <alignment horizontal="right"/>
    </xf>
    <xf numFmtId="0" fontId="11" fillId="22" borderId="19" xfId="0" applyFont="1" applyFill="1" applyBorder="1" applyAlignment="1" applyProtection="1">
      <alignment horizontal="right"/>
    </xf>
    <xf numFmtId="0" fontId="21" fillId="22" borderId="5" xfId="0" applyFont="1" applyFill="1" applyBorder="1" applyAlignment="1" applyProtection="1">
      <alignment horizontal="right"/>
    </xf>
    <xf numFmtId="0" fontId="21" fillId="22" borderId="7" xfId="0" applyFont="1" applyFill="1" applyBorder="1" applyAlignment="1" applyProtection="1">
      <alignment horizontal="right"/>
    </xf>
    <xf numFmtId="0" fontId="21" fillId="22" borderId="19" xfId="0" applyFont="1" applyFill="1" applyBorder="1" applyAlignment="1" applyProtection="1">
      <alignment horizontal="right"/>
    </xf>
    <xf numFmtId="169" fontId="3" fillId="7" borderId="5" xfId="0" applyNumberFormat="1" applyFont="1" applyFill="1" applyBorder="1" applyAlignment="1" applyProtection="1">
      <alignment horizontal="right"/>
    </xf>
    <xf numFmtId="169" fontId="3" fillId="7" borderId="7" xfId="0" applyNumberFormat="1" applyFont="1" applyFill="1" applyBorder="1" applyAlignment="1" applyProtection="1">
      <alignment horizontal="right"/>
    </xf>
    <xf numFmtId="169" fontId="3" fillId="7" borderId="19" xfId="0" applyNumberFormat="1" applyFont="1" applyFill="1" applyBorder="1" applyAlignment="1" applyProtection="1">
      <alignment horizontal="right"/>
    </xf>
    <xf numFmtId="166" fontId="8" fillId="20" borderId="14" xfId="0" applyNumberFormat="1" applyFont="1" applyFill="1" applyBorder="1" applyAlignment="1" applyProtection="1">
      <alignment horizontal="center"/>
    </xf>
    <xf numFmtId="166" fontId="8" fillId="20" borderId="15" xfId="0" applyNumberFormat="1" applyFont="1" applyFill="1" applyBorder="1" applyAlignment="1" applyProtection="1">
      <alignment horizontal="center"/>
    </xf>
    <xf numFmtId="166" fontId="8" fillId="20" borderId="16" xfId="0" applyNumberFormat="1" applyFont="1" applyFill="1" applyBorder="1" applyAlignment="1" applyProtection="1">
      <alignment horizontal="center"/>
    </xf>
    <xf numFmtId="169" fontId="3" fillId="0" borderId="5" xfId="1" applyNumberFormat="1" applyFont="1" applyBorder="1" applyAlignment="1" applyProtection="1">
      <alignment horizontal="right"/>
    </xf>
    <xf numFmtId="169" fontId="3" fillId="0" borderId="7" xfId="1" applyNumberFormat="1" applyFont="1" applyBorder="1" applyAlignment="1" applyProtection="1">
      <alignment horizontal="right"/>
    </xf>
    <xf numFmtId="169" fontId="3" fillId="0" borderId="19" xfId="1" applyNumberFormat="1" applyFont="1" applyBorder="1" applyAlignment="1" applyProtection="1">
      <alignment horizontal="right"/>
    </xf>
    <xf numFmtId="169" fontId="3" fillId="22" borderId="14" xfId="0" applyNumberFormat="1" applyFont="1" applyFill="1" applyBorder="1" applyAlignment="1" applyProtection="1">
      <alignment horizontal="right"/>
    </xf>
    <xf numFmtId="169" fontId="3" fillId="22" borderId="15" xfId="0" applyNumberFormat="1" applyFont="1" applyFill="1" applyBorder="1" applyAlignment="1" applyProtection="1">
      <alignment horizontal="right"/>
    </xf>
    <xf numFmtId="169" fontId="3" fillId="22" borderId="16" xfId="0" applyNumberFormat="1" applyFont="1" applyFill="1" applyBorder="1" applyAlignment="1" applyProtection="1">
      <alignment horizontal="right"/>
    </xf>
    <xf numFmtId="169" fontId="9" fillId="0" borderId="9" xfId="0" applyNumberFormat="1" applyFont="1" applyFill="1" applyBorder="1" applyAlignment="1" applyProtection="1">
      <alignment horizontal="right"/>
    </xf>
    <xf numFmtId="169" fontId="9" fillId="0" borderId="10" xfId="0" applyNumberFormat="1" applyFont="1" applyFill="1" applyBorder="1" applyAlignment="1" applyProtection="1">
      <alignment horizontal="right"/>
    </xf>
    <xf numFmtId="169" fontId="9" fillId="0" borderId="12" xfId="0" applyNumberFormat="1" applyFont="1" applyFill="1" applyBorder="1" applyAlignment="1" applyProtection="1">
      <alignment horizontal="right"/>
    </xf>
    <xf numFmtId="0" fontId="25" fillId="0" borderId="14" xfId="0" applyFont="1" applyBorder="1" applyAlignment="1" applyProtection="1">
      <alignment horizontal="center"/>
    </xf>
    <xf numFmtId="0" fontId="25" fillId="0" borderId="15" xfId="0" applyFont="1" applyBorder="1" applyAlignment="1" applyProtection="1">
      <alignment horizontal="center"/>
    </xf>
    <xf numFmtId="0" fontId="25" fillId="0" borderId="16" xfId="0" applyFont="1" applyBorder="1" applyAlignment="1" applyProtection="1">
      <alignment horizontal="center"/>
    </xf>
    <xf numFmtId="0" fontId="33" fillId="20" borderId="9" xfId="0" applyFont="1" applyFill="1" applyBorder="1" applyAlignment="1" applyProtection="1">
      <alignment horizontal="center"/>
    </xf>
    <xf numFmtId="0" fontId="33" fillId="20" borderId="10" xfId="0" applyFont="1" applyFill="1" applyBorder="1" applyAlignment="1" applyProtection="1">
      <alignment horizontal="center"/>
    </xf>
    <xf numFmtId="0" fontId="33" fillId="20" borderId="12" xfId="0" applyFont="1" applyFill="1" applyBorder="1" applyAlignment="1" applyProtection="1">
      <alignment horizontal="center"/>
    </xf>
    <xf numFmtId="169" fontId="3" fillId="6" borderId="5" xfId="1" applyNumberFormat="1" applyFont="1" applyFill="1" applyBorder="1" applyAlignment="1" applyProtection="1">
      <alignment horizontal="right"/>
    </xf>
    <xf numFmtId="169" fontId="3" fillId="6" borderId="7" xfId="1" applyNumberFormat="1" applyFont="1" applyFill="1" applyBorder="1" applyAlignment="1" applyProtection="1">
      <alignment horizontal="right"/>
    </xf>
    <xf numFmtId="169" fontId="3" fillId="6" borderId="19" xfId="1" applyNumberFormat="1" applyFont="1" applyFill="1" applyBorder="1" applyAlignment="1" applyProtection="1">
      <alignment horizontal="right"/>
    </xf>
    <xf numFmtId="168" fontId="3" fillId="22" borderId="29" xfId="0" applyNumberFormat="1" applyFont="1" applyFill="1" applyBorder="1" applyAlignment="1" applyProtection="1">
      <alignment horizontal="right"/>
    </xf>
    <xf numFmtId="168" fontId="3" fillId="22" borderId="15" xfId="0" applyNumberFormat="1" applyFont="1" applyFill="1" applyBorder="1" applyAlignment="1" applyProtection="1">
      <alignment horizontal="right"/>
    </xf>
    <xf numFmtId="168" fontId="3" fillId="22" borderId="16" xfId="0" applyNumberFormat="1" applyFont="1" applyFill="1" applyBorder="1" applyAlignment="1" applyProtection="1">
      <alignment horizontal="right"/>
    </xf>
    <xf numFmtId="0" fontId="11" fillId="22" borderId="5" xfId="0" applyFont="1" applyFill="1" applyBorder="1" applyAlignment="1" applyProtection="1"/>
    <xf numFmtId="0" fontId="11" fillId="22" borderId="7" xfId="0" applyFont="1" applyFill="1" applyBorder="1" applyAlignment="1" applyProtection="1"/>
    <xf numFmtId="0" fontId="11" fillId="22" borderId="19" xfId="0" applyFont="1" applyFill="1" applyBorder="1" applyAlignment="1" applyProtection="1"/>
    <xf numFmtId="168" fontId="11" fillId="22" borderId="5" xfId="1" applyNumberFormat="1" applyFont="1" applyFill="1" applyBorder="1" applyAlignment="1" applyProtection="1">
      <alignment horizontal="right"/>
    </xf>
    <xf numFmtId="168" fontId="11" fillId="22" borderId="7" xfId="1" applyNumberFormat="1" applyFont="1" applyFill="1" applyBorder="1" applyAlignment="1" applyProtection="1">
      <alignment horizontal="right"/>
    </xf>
    <xf numFmtId="168" fontId="11" fillId="22" borderId="19" xfId="1" applyNumberFormat="1" applyFont="1" applyFill="1" applyBorder="1" applyAlignment="1" applyProtection="1">
      <alignment horizontal="right"/>
    </xf>
    <xf numFmtId="169" fontId="3" fillId="22" borderId="20" xfId="0" applyNumberFormat="1" applyFont="1" applyFill="1" applyBorder="1" applyAlignment="1" applyProtection="1">
      <alignment horizontal="right"/>
    </xf>
    <xf numFmtId="169" fontId="3" fillId="22" borderId="6" xfId="0" applyNumberFormat="1" applyFont="1" applyFill="1" applyBorder="1" applyAlignment="1" applyProtection="1">
      <alignment horizontal="right"/>
    </xf>
    <xf numFmtId="169" fontId="3" fillId="22" borderId="23" xfId="0" applyNumberFormat="1" applyFont="1" applyFill="1" applyBorder="1" applyAlignment="1" applyProtection="1">
      <alignment horizontal="right"/>
    </xf>
    <xf numFmtId="0" fontId="5" fillId="21" borderId="24" xfId="0" applyFont="1" applyFill="1" applyBorder="1" applyAlignment="1" applyProtection="1">
      <alignment horizontal="center"/>
    </xf>
    <xf numFmtId="0" fontId="5" fillId="21" borderId="10" xfId="0" applyFont="1" applyFill="1" applyBorder="1" applyAlignment="1" applyProtection="1">
      <alignment horizontal="center"/>
    </xf>
    <xf numFmtId="0" fontId="5" fillId="21" borderId="12" xfId="0" applyFont="1" applyFill="1" applyBorder="1" applyAlignment="1" applyProtection="1">
      <alignment horizontal="center"/>
    </xf>
    <xf numFmtId="0" fontId="13" fillId="22" borderId="30" xfId="0" applyFont="1" applyFill="1" applyBorder="1" applyAlignment="1" applyProtection="1">
      <alignment horizontal="center"/>
    </xf>
    <xf numFmtId="0" fontId="13" fillId="22" borderId="31" xfId="0" applyFont="1" applyFill="1" applyBorder="1" applyAlignment="1" applyProtection="1">
      <alignment horizontal="center"/>
    </xf>
    <xf numFmtId="0" fontId="13" fillId="22" borderId="32" xfId="0" applyFont="1" applyFill="1" applyBorder="1" applyAlignment="1" applyProtection="1">
      <alignment horizontal="center"/>
    </xf>
    <xf numFmtId="0" fontId="3" fillId="22" borderId="26" xfId="0" applyFont="1" applyFill="1" applyBorder="1" applyAlignment="1" applyProtection="1">
      <alignment horizontal="center" vertical="center" wrapText="1"/>
    </xf>
    <xf numFmtId="0" fontId="3" fillId="22" borderId="21" xfId="0" applyFont="1" applyFill="1" applyBorder="1" applyAlignment="1" applyProtection="1">
      <alignment horizontal="center" vertical="center" wrapText="1"/>
    </xf>
    <xf numFmtId="0" fontId="3" fillId="22" borderId="27" xfId="0" applyFont="1" applyFill="1" applyBorder="1" applyAlignment="1" applyProtection="1">
      <alignment horizontal="center" vertical="center" wrapText="1"/>
    </xf>
    <xf numFmtId="169" fontId="4" fillId="0" borderId="9" xfId="0" applyNumberFormat="1" applyFont="1" applyFill="1" applyBorder="1" applyAlignment="1" applyProtection="1">
      <alignment horizontal="right"/>
    </xf>
    <xf numFmtId="169" fontId="4" fillId="0" borderId="10" xfId="0" applyNumberFormat="1" applyFont="1" applyFill="1" applyBorder="1" applyAlignment="1" applyProtection="1">
      <alignment horizontal="right"/>
    </xf>
    <xf numFmtId="169" fontId="4" fillId="0" borderId="12" xfId="0" applyNumberFormat="1" applyFont="1" applyFill="1" applyBorder="1" applyAlignment="1" applyProtection="1">
      <alignment horizontal="right"/>
    </xf>
    <xf numFmtId="0" fontId="3" fillId="22" borderId="5" xfId="0" applyFont="1" applyFill="1" applyBorder="1" applyAlignment="1" applyProtection="1">
      <alignment horizontal="right"/>
    </xf>
    <xf numFmtId="0" fontId="3" fillId="22" borderId="7" xfId="0" applyFont="1" applyFill="1" applyBorder="1" applyAlignment="1" applyProtection="1">
      <alignment horizontal="right"/>
    </xf>
    <xf numFmtId="0" fontId="3" fillId="22" borderId="19" xfId="0" applyFont="1" applyFill="1" applyBorder="1" applyAlignment="1" applyProtection="1">
      <alignment horizontal="right"/>
    </xf>
    <xf numFmtId="1" fontId="11" fillId="7" borderId="5" xfId="0" applyNumberFormat="1" applyFont="1" applyFill="1" applyBorder="1" applyAlignment="1" applyProtection="1">
      <alignment horizontal="right"/>
    </xf>
    <xf numFmtId="1" fontId="11" fillId="7" borderId="7" xfId="0" applyNumberFormat="1" applyFont="1" applyFill="1" applyBorder="1" applyAlignment="1" applyProtection="1">
      <alignment horizontal="right"/>
    </xf>
    <xf numFmtId="1" fontId="11" fillId="7" borderId="19" xfId="0" applyNumberFormat="1" applyFont="1" applyFill="1" applyBorder="1" applyAlignment="1" applyProtection="1">
      <alignment horizontal="right"/>
    </xf>
    <xf numFmtId="0" fontId="10" fillId="22" borderId="26" xfId="0" applyFont="1" applyFill="1" applyBorder="1" applyAlignment="1" applyProtection="1">
      <alignment horizontal="center" vertical="center" wrapText="1"/>
    </xf>
    <xf numFmtId="0" fontId="10" fillId="22" borderId="21" xfId="0" applyFont="1" applyFill="1" applyBorder="1" applyAlignment="1" applyProtection="1">
      <alignment horizontal="center" vertical="center" wrapText="1"/>
    </xf>
    <xf numFmtId="0" fontId="10" fillId="22" borderId="27" xfId="0" applyFont="1" applyFill="1" applyBorder="1" applyAlignment="1" applyProtection="1">
      <alignment horizontal="center" vertical="center" wrapText="1"/>
    </xf>
    <xf numFmtId="0" fontId="3" fillId="22" borderId="20" xfId="0" applyFont="1" applyFill="1" applyBorder="1" applyAlignment="1" applyProtection="1">
      <alignment horizontal="right"/>
    </xf>
    <xf numFmtId="0" fontId="3" fillId="22" borderId="6" xfId="0" applyFont="1" applyFill="1" applyBorder="1" applyAlignment="1" applyProtection="1">
      <alignment horizontal="right"/>
    </xf>
    <xf numFmtId="0" fontId="3" fillId="22" borderId="23" xfId="0" applyFont="1" applyFill="1" applyBorder="1" applyAlignment="1" applyProtection="1">
      <alignment horizontal="right"/>
    </xf>
    <xf numFmtId="0" fontId="5" fillId="7" borderId="24" xfId="0" applyFont="1" applyFill="1" applyBorder="1" applyAlignment="1" applyProtection="1">
      <alignment horizontal="center"/>
    </xf>
    <xf numFmtId="0" fontId="5" fillId="7" borderId="10" xfId="0" applyFont="1" applyFill="1" applyBorder="1" applyAlignment="1" applyProtection="1">
      <alignment horizontal="center"/>
    </xf>
    <xf numFmtId="0" fontId="5" fillId="7" borderId="12" xfId="0" applyFont="1" applyFill="1" applyBorder="1" applyAlignment="1" applyProtection="1">
      <alignment horizontal="center"/>
    </xf>
    <xf numFmtId="0" fontId="21" fillId="7" borderId="5" xfId="0" applyFont="1" applyFill="1" applyBorder="1" applyAlignment="1" applyProtection="1">
      <alignment horizontal="right"/>
    </xf>
    <xf numFmtId="0" fontId="21" fillId="7" borderId="7" xfId="0" applyFont="1" applyFill="1" applyBorder="1" applyAlignment="1" applyProtection="1">
      <alignment horizontal="right"/>
    </xf>
    <xf numFmtId="0" fontId="21" fillId="7" borderId="19" xfId="0" applyFont="1" applyFill="1" applyBorder="1" applyAlignment="1" applyProtection="1">
      <alignment horizontal="right"/>
    </xf>
    <xf numFmtId="0" fontId="19" fillId="25" borderId="46" xfId="0" applyFont="1" applyFill="1" applyBorder="1" applyAlignment="1">
      <alignment horizontal="center" wrapText="1"/>
    </xf>
    <xf numFmtId="0" fontId="19" fillId="25" borderId="47" xfId="0" applyFont="1" applyFill="1" applyBorder="1" applyAlignment="1">
      <alignment horizontal="center" wrapText="1"/>
    </xf>
    <xf numFmtId="0" fontId="51" fillId="25" borderId="60" xfId="0" applyFont="1" applyFill="1" applyBorder="1" applyAlignment="1">
      <alignment horizontal="center" vertical="center"/>
    </xf>
    <xf numFmtId="0" fontId="51" fillId="25" borderId="0" xfId="0" applyFont="1" applyFill="1" applyBorder="1" applyAlignment="1">
      <alignment horizontal="center" vertical="center"/>
    </xf>
    <xf numFmtId="0" fontId="26" fillId="19" borderId="65" xfId="0" applyFont="1" applyFill="1" applyBorder="1" applyAlignment="1">
      <alignment horizontal="center" wrapText="1"/>
    </xf>
    <xf numFmtId="0" fontId="26" fillId="19" borderId="66" xfId="0" applyFont="1" applyFill="1" applyBorder="1" applyAlignment="1">
      <alignment horizontal="center" wrapText="1"/>
    </xf>
    <xf numFmtId="174" fontId="31" fillId="19" borderId="50" xfId="0" applyNumberFormat="1" applyFont="1" applyFill="1" applyBorder="1" applyAlignment="1" applyProtection="1">
      <alignment horizontal="center" vertical="center"/>
      <protection locked="0"/>
    </xf>
    <xf numFmtId="174" fontId="31" fillId="19" borderId="59" xfId="0" applyNumberFormat="1" applyFont="1" applyFill="1" applyBorder="1" applyAlignment="1" applyProtection="1">
      <alignment horizontal="center" vertical="center"/>
      <protection locked="0"/>
    </xf>
    <xf numFmtId="0" fontId="51" fillId="24" borderId="60" xfId="0" applyFont="1" applyFill="1" applyBorder="1" applyAlignment="1">
      <alignment horizontal="center" vertical="center"/>
    </xf>
    <xf numFmtId="0" fontId="51" fillId="24" borderId="0" xfId="0" applyFont="1" applyFill="1" applyBorder="1" applyAlignment="1">
      <alignment horizontal="center" vertical="center"/>
    </xf>
    <xf numFmtId="0" fontId="19" fillId="24" borderId="65" xfId="0" applyFont="1" applyFill="1" applyBorder="1" applyAlignment="1">
      <alignment horizontal="center" wrapText="1"/>
    </xf>
    <xf numFmtId="0" fontId="19" fillId="24" borderId="69" xfId="0" applyFont="1" applyFill="1" applyBorder="1" applyAlignment="1">
      <alignment horizontal="center" wrapText="1"/>
    </xf>
    <xf numFmtId="0" fontId="26" fillId="24" borderId="46" xfId="0" applyFont="1" applyFill="1" applyBorder="1" applyAlignment="1">
      <alignment horizontal="center" wrapText="1"/>
    </xf>
    <xf numFmtId="0" fontId="26" fillId="24" borderId="45" xfId="0" applyFont="1" applyFill="1" applyBorder="1" applyAlignment="1">
      <alignment horizontal="center" wrapText="1"/>
    </xf>
    <xf numFmtId="168" fontId="31" fillId="24" borderId="50" xfId="0" applyNumberFormat="1" applyFont="1" applyFill="1" applyBorder="1" applyAlignment="1" applyProtection="1">
      <alignment horizontal="center" vertical="center"/>
      <protection locked="0"/>
    </xf>
    <xf numFmtId="168" fontId="31" fillId="24" borderId="61" xfId="0" applyNumberFormat="1" applyFont="1" applyFill="1" applyBorder="1" applyAlignment="1" applyProtection="1">
      <alignment horizontal="center" vertical="center"/>
      <protection locked="0"/>
    </xf>
    <xf numFmtId="0" fontId="26" fillId="19" borderId="46" xfId="0" applyFont="1" applyFill="1" applyBorder="1" applyAlignment="1">
      <alignment horizontal="center" wrapText="1"/>
    </xf>
    <xf numFmtId="0" fontId="26" fillId="19" borderId="47" xfId="0" applyFont="1" applyFill="1" applyBorder="1" applyAlignment="1">
      <alignment horizontal="center" wrapText="1"/>
    </xf>
    <xf numFmtId="0" fontId="19" fillId="19" borderId="46" xfId="0" applyFont="1" applyFill="1" applyBorder="1" applyAlignment="1">
      <alignment horizontal="center" wrapText="1"/>
    </xf>
    <xf numFmtId="0" fontId="19" fillId="19" borderId="45" xfId="0" applyFont="1" applyFill="1" applyBorder="1" applyAlignment="1">
      <alignment horizontal="center" wrapText="1"/>
    </xf>
    <xf numFmtId="0" fontId="19" fillId="19" borderId="65" xfId="0" applyFont="1" applyFill="1" applyBorder="1" applyAlignment="1">
      <alignment horizontal="center"/>
    </xf>
    <xf numFmtId="0" fontId="19" fillId="19" borderId="69" xfId="0" applyFont="1" applyFill="1" applyBorder="1" applyAlignment="1">
      <alignment horizontal="center"/>
    </xf>
    <xf numFmtId="0" fontId="51" fillId="19" borderId="60" xfId="0" applyFont="1" applyFill="1" applyBorder="1" applyAlignment="1">
      <alignment horizontal="center" vertical="center"/>
    </xf>
    <xf numFmtId="0" fontId="51" fillId="19" borderId="0" xfId="0" applyFont="1" applyFill="1" applyBorder="1" applyAlignment="1">
      <alignment horizontal="center" vertical="center"/>
    </xf>
    <xf numFmtId="0" fontId="19" fillId="24" borderId="46" xfId="0" applyFont="1" applyFill="1" applyBorder="1" applyAlignment="1">
      <alignment horizontal="center" wrapText="1"/>
    </xf>
    <xf numFmtId="0" fontId="19" fillId="24" borderId="47" xfId="0" applyFont="1" applyFill="1" applyBorder="1" applyAlignment="1">
      <alignment horizontal="center" wrapText="1"/>
    </xf>
    <xf numFmtId="0" fontId="19" fillId="10" borderId="65" xfId="0" applyFont="1" applyFill="1" applyBorder="1" applyAlignment="1">
      <alignment horizontal="center" wrapText="1"/>
    </xf>
    <xf numFmtId="0" fontId="19" fillId="10" borderId="66" xfId="0" applyFont="1" applyFill="1" applyBorder="1" applyAlignment="1">
      <alignment horizontal="center" wrapText="1"/>
    </xf>
    <xf numFmtId="0" fontId="19" fillId="10" borderId="69" xfId="0" applyFont="1" applyFill="1" applyBorder="1" applyAlignment="1">
      <alignment horizontal="center" wrapText="1"/>
    </xf>
    <xf numFmtId="0" fontId="51" fillId="20" borderId="60" xfId="0" applyFont="1" applyFill="1" applyBorder="1" applyAlignment="1">
      <alignment horizontal="center" vertical="center"/>
    </xf>
    <xf numFmtId="0" fontId="51" fillId="20" borderId="0" xfId="0" applyFont="1" applyFill="1" applyBorder="1" applyAlignment="1">
      <alignment horizontal="center" vertical="center"/>
    </xf>
    <xf numFmtId="0" fontId="26" fillId="20" borderId="72" xfId="0" applyFont="1" applyFill="1" applyBorder="1" applyAlignment="1">
      <alignment horizontal="center" wrapText="1"/>
    </xf>
    <xf numFmtId="0" fontId="26" fillId="20" borderId="74" xfId="0" applyFont="1" applyFill="1" applyBorder="1" applyAlignment="1">
      <alignment horizontal="center" wrapText="1"/>
    </xf>
    <xf numFmtId="0" fontId="26" fillId="20" borderId="73" xfId="0" applyFont="1" applyFill="1" applyBorder="1" applyAlignment="1">
      <alignment horizontal="center" wrapText="1"/>
    </xf>
    <xf numFmtId="0" fontId="10" fillId="25" borderId="67" xfId="0" applyFont="1" applyFill="1" applyBorder="1" applyAlignment="1" applyProtection="1">
      <alignment horizontal="center" vertical="center"/>
      <protection locked="0"/>
    </xf>
    <xf numFmtId="0" fontId="10" fillId="25" borderId="68" xfId="0" applyFont="1" applyFill="1" applyBorder="1" applyAlignment="1" applyProtection="1">
      <alignment horizontal="center" vertical="center"/>
      <protection locked="0"/>
    </xf>
    <xf numFmtId="0" fontId="10" fillId="25" borderId="67" xfId="0" applyFont="1" applyFill="1" applyBorder="1" applyAlignment="1" applyProtection="1">
      <alignment horizontal="center" vertical="center" wrapText="1"/>
      <protection locked="0"/>
    </xf>
    <xf numFmtId="0" fontId="10" fillId="25" borderId="68" xfId="0" applyFont="1" applyFill="1" applyBorder="1" applyAlignment="1" applyProtection="1">
      <alignment horizontal="center" vertical="center" wrapText="1"/>
      <protection locked="0"/>
    </xf>
    <xf numFmtId="0" fontId="19" fillId="24" borderId="66" xfId="0" applyFont="1" applyFill="1" applyBorder="1" applyAlignment="1">
      <alignment horizontal="center" wrapText="1"/>
    </xf>
    <xf numFmtId="0" fontId="19" fillId="25" borderId="65" xfId="0" applyFont="1" applyFill="1" applyBorder="1" applyAlignment="1">
      <alignment horizontal="center" wrapText="1"/>
    </xf>
    <xf numFmtId="0" fontId="19" fillId="25" borderId="66" xfId="0" applyFont="1" applyFill="1" applyBorder="1" applyAlignment="1">
      <alignment horizontal="center" wrapText="1"/>
    </xf>
    <xf numFmtId="0" fontId="19" fillId="10" borderId="46" xfId="0" applyFont="1" applyFill="1" applyBorder="1" applyAlignment="1">
      <alignment horizontal="center" wrapText="1"/>
    </xf>
    <xf numFmtId="0" fontId="19" fillId="10" borderId="47" xfId="0" applyFont="1" applyFill="1" applyBorder="1" applyAlignment="1">
      <alignment horizontal="center" wrapText="1"/>
    </xf>
    <xf numFmtId="0" fontId="19" fillId="10" borderId="45" xfId="0" applyFont="1" applyFill="1" applyBorder="1" applyAlignment="1">
      <alignment horizontal="center" wrapText="1"/>
    </xf>
    <xf numFmtId="0" fontId="51" fillId="10" borderId="60" xfId="0" applyFont="1" applyFill="1" applyBorder="1" applyAlignment="1">
      <alignment horizontal="center" vertical="center"/>
    </xf>
    <xf numFmtId="0" fontId="51" fillId="10" borderId="0" xfId="0" applyFont="1" applyFill="1" applyBorder="1" applyAlignment="1">
      <alignment horizontal="center" vertical="center"/>
    </xf>
    <xf numFmtId="0" fontId="19" fillId="12" borderId="46" xfId="0" applyFont="1" applyFill="1" applyBorder="1" applyAlignment="1">
      <alignment horizontal="center" wrapText="1"/>
    </xf>
    <xf numFmtId="0" fontId="19" fillId="12" borderId="47" xfId="0" applyFont="1" applyFill="1" applyBorder="1" applyAlignment="1">
      <alignment horizontal="center" wrapText="1"/>
    </xf>
    <xf numFmtId="0" fontId="19" fillId="12" borderId="60" xfId="0" applyFont="1" applyFill="1" applyBorder="1" applyAlignment="1">
      <alignment horizontal="center" wrapText="1"/>
    </xf>
    <xf numFmtId="0" fontId="19" fillId="12" borderId="0" xfId="0" applyFont="1" applyFill="1" applyBorder="1" applyAlignment="1">
      <alignment horizontal="center" wrapText="1"/>
    </xf>
    <xf numFmtId="0" fontId="19" fillId="20" borderId="46" xfId="0" applyFont="1" applyFill="1" applyBorder="1" applyAlignment="1">
      <alignment horizontal="center" wrapText="1"/>
    </xf>
    <xf numFmtId="0" fontId="19" fillId="20" borderId="47" xfId="0" applyFont="1" applyFill="1" applyBorder="1" applyAlignment="1">
      <alignment horizontal="center" wrapText="1"/>
    </xf>
    <xf numFmtId="0" fontId="19" fillId="20" borderId="60" xfId="0" applyFont="1" applyFill="1" applyBorder="1" applyAlignment="1">
      <alignment horizontal="center" wrapText="1"/>
    </xf>
    <xf numFmtId="0" fontId="19" fillId="20" borderId="0" xfId="0" applyFont="1" applyFill="1" applyBorder="1" applyAlignment="1">
      <alignment horizontal="center" wrapText="1"/>
    </xf>
    <xf numFmtId="0" fontId="51" fillId="12" borderId="60" xfId="0" applyFont="1" applyFill="1" applyBorder="1" applyAlignment="1">
      <alignment horizontal="center" vertical="center"/>
    </xf>
    <xf numFmtId="0" fontId="51" fillId="12" borderId="0" xfId="0" applyFont="1" applyFill="1" applyBorder="1" applyAlignment="1">
      <alignment horizontal="center" vertical="center"/>
    </xf>
    <xf numFmtId="0" fontId="26" fillId="12" borderId="65" xfId="0" applyFont="1" applyFill="1" applyBorder="1" applyAlignment="1">
      <alignment horizontal="center" wrapText="1"/>
    </xf>
    <xf numFmtId="0" fontId="26" fillId="12" borderId="66" xfId="0" applyFont="1" applyFill="1" applyBorder="1" applyAlignment="1">
      <alignment horizontal="center" wrapText="1"/>
    </xf>
    <xf numFmtId="0" fontId="26" fillId="12" borderId="69" xfId="0" applyFont="1" applyFill="1" applyBorder="1" applyAlignment="1">
      <alignment horizontal="center" wrapText="1"/>
    </xf>
    <xf numFmtId="0" fontId="24" fillId="20" borderId="46" xfId="0" applyFont="1" applyFill="1" applyBorder="1" applyAlignment="1" applyProtection="1">
      <alignment horizontal="center" vertical="center"/>
    </xf>
    <xf numFmtId="0" fontId="24" fillId="20" borderId="45" xfId="0" applyFont="1" applyFill="1" applyBorder="1" applyAlignment="1" applyProtection="1">
      <alignment horizontal="center" vertical="center"/>
    </xf>
    <xf numFmtId="0" fontId="24" fillId="20" borderId="47" xfId="0" applyFont="1" applyFill="1" applyBorder="1" applyAlignment="1" applyProtection="1">
      <alignment horizontal="center" vertical="center"/>
    </xf>
    <xf numFmtId="0" fontId="10" fillId="25" borderId="48" xfId="0" applyFont="1" applyFill="1" applyBorder="1" applyAlignment="1" applyProtection="1">
      <alignment horizontal="center"/>
    </xf>
    <xf numFmtId="0" fontId="10" fillId="25" borderId="49" xfId="0" applyFont="1" applyFill="1" applyBorder="1" applyAlignment="1" applyProtection="1">
      <alignment horizontal="center"/>
    </xf>
    <xf numFmtId="0" fontId="1" fillId="27" borderId="75" xfId="0" applyFont="1" applyFill="1" applyBorder="1" applyAlignment="1" applyProtection="1">
      <alignment horizontal="center" wrapText="1"/>
    </xf>
    <xf numFmtId="0" fontId="1" fillId="27" borderId="48" xfId="0" applyFont="1" applyFill="1" applyBorder="1" applyAlignment="1" applyProtection="1">
      <alignment horizontal="center" wrapText="1"/>
    </xf>
    <xf numFmtId="0" fontId="38" fillId="27" borderId="81" xfId="0" applyFont="1" applyFill="1" applyBorder="1" applyAlignment="1" applyProtection="1">
      <alignment horizontal="center"/>
    </xf>
    <xf numFmtId="0" fontId="38" fillId="27" borderId="82" xfId="0" applyFont="1" applyFill="1" applyBorder="1" applyAlignment="1" applyProtection="1">
      <alignment horizontal="center"/>
    </xf>
    <xf numFmtId="0" fontId="38" fillId="27" borderId="64" xfId="0" applyFont="1" applyFill="1" applyBorder="1" applyAlignment="1" applyProtection="1">
      <alignment horizontal="center"/>
    </xf>
    <xf numFmtId="166" fontId="10" fillId="12" borderId="89" xfId="0" applyNumberFormat="1" applyFont="1" applyFill="1" applyBorder="1" applyAlignment="1" applyProtection="1">
      <alignment horizontal="center" vertical="center"/>
    </xf>
    <xf numFmtId="166" fontId="10" fillId="12" borderId="83" xfId="0" applyNumberFormat="1" applyFont="1" applyFill="1" applyBorder="1" applyAlignment="1" applyProtection="1">
      <alignment horizontal="center" vertical="center"/>
    </xf>
    <xf numFmtId="166" fontId="10" fillId="12" borderId="90" xfId="0" applyNumberFormat="1" applyFont="1" applyFill="1" applyBorder="1" applyAlignment="1" applyProtection="1">
      <alignment horizontal="center" vertical="center"/>
    </xf>
    <xf numFmtId="166" fontId="10" fillId="12" borderId="91" xfId="0" applyNumberFormat="1" applyFont="1" applyFill="1" applyBorder="1" applyAlignment="1" applyProtection="1">
      <alignment horizontal="center" vertical="center"/>
    </xf>
    <xf numFmtId="166" fontId="10" fillId="12" borderId="92" xfId="0" applyNumberFormat="1" applyFont="1" applyFill="1" applyBorder="1" applyAlignment="1" applyProtection="1">
      <alignment horizontal="center" vertical="center"/>
    </xf>
    <xf numFmtId="166" fontId="10" fillId="12" borderId="78" xfId="0" applyNumberFormat="1" applyFont="1" applyFill="1" applyBorder="1" applyAlignment="1" applyProtection="1">
      <alignment horizontal="center" vertical="center"/>
    </xf>
    <xf numFmtId="166" fontId="10" fillId="12" borderId="32" xfId="0" applyNumberFormat="1" applyFont="1" applyFill="1" applyBorder="1" applyAlignment="1" applyProtection="1">
      <alignment horizontal="center" vertical="center"/>
    </xf>
    <xf numFmtId="0" fontId="38" fillId="27" borderId="34" xfId="0" applyFont="1" applyFill="1" applyBorder="1" applyAlignment="1" applyProtection="1">
      <alignment horizontal="center"/>
    </xf>
    <xf numFmtId="0" fontId="38" fillId="27" borderId="33" xfId="0" applyFont="1" applyFill="1" applyBorder="1" applyAlignment="1" applyProtection="1">
      <alignment horizontal="center"/>
    </xf>
    <xf numFmtId="0" fontId="38" fillId="27" borderId="35" xfId="0" applyFont="1" applyFill="1" applyBorder="1" applyAlignment="1" applyProtection="1">
      <alignment horizontal="center"/>
    </xf>
    <xf numFmtId="0" fontId="10" fillId="25" borderId="21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24" fillId="27" borderId="51" xfId="0" applyFont="1" applyFill="1" applyBorder="1" applyAlignment="1">
      <alignment horizontal="center" vertical="center"/>
    </xf>
    <xf numFmtId="0" fontId="24" fillId="27" borderId="52" xfId="0" applyFont="1" applyFill="1" applyBorder="1" applyAlignment="1">
      <alignment horizontal="center" vertical="center"/>
    </xf>
    <xf numFmtId="0" fontId="24" fillId="27" borderId="53" xfId="0" applyFont="1" applyFill="1" applyBorder="1" applyAlignment="1">
      <alignment horizontal="center" vertical="center"/>
    </xf>
    <xf numFmtId="0" fontId="32" fillId="27" borderId="84" xfId="0" applyFont="1" applyFill="1" applyBorder="1" applyAlignment="1" applyProtection="1">
      <alignment horizontal="center"/>
    </xf>
    <xf numFmtId="0" fontId="32" fillId="27" borderId="85" xfId="0" applyFont="1" applyFill="1" applyBorder="1" applyAlignment="1" applyProtection="1">
      <alignment horizontal="center"/>
    </xf>
    <xf numFmtId="0" fontId="32" fillId="27" borderId="86" xfId="0" applyFont="1" applyFill="1" applyBorder="1" applyAlignment="1" applyProtection="1">
      <alignment horizontal="center"/>
    </xf>
    <xf numFmtId="0" fontId="38" fillId="27" borderId="86" xfId="0" applyFont="1" applyFill="1" applyBorder="1" applyAlignment="1" applyProtection="1">
      <alignment horizontal="center"/>
    </xf>
    <xf numFmtId="0" fontId="37" fillId="27" borderId="75" xfId="0" applyFont="1" applyFill="1" applyBorder="1" applyAlignment="1" applyProtection="1">
      <alignment horizontal="center" wrapText="1"/>
    </xf>
    <xf numFmtId="0" fontId="37" fillId="27" borderId="49" xfId="0" applyFont="1" applyFill="1" applyBorder="1" applyAlignment="1" applyProtection="1">
      <alignment horizontal="center" wrapText="1"/>
    </xf>
    <xf numFmtId="0" fontId="37" fillId="27" borderId="58" xfId="0" applyFont="1" applyFill="1" applyBorder="1" applyAlignment="1" applyProtection="1">
      <alignment horizontal="center" wrapText="1"/>
    </xf>
    <xf numFmtId="0" fontId="1" fillId="27" borderId="58" xfId="0" applyFont="1" applyFill="1" applyBorder="1" applyAlignment="1" applyProtection="1">
      <alignment horizontal="center"/>
    </xf>
    <xf numFmtId="0" fontId="1" fillId="27" borderId="76" xfId="0" applyFont="1" applyFill="1" applyBorder="1" applyAlignment="1" applyProtection="1">
      <alignment horizontal="center"/>
    </xf>
    <xf numFmtId="173" fontId="5" fillId="0" borderId="30" xfId="0" applyNumberFormat="1" applyFont="1" applyBorder="1" applyAlignment="1" applyProtection="1">
      <alignment horizontal="center" vertical="center"/>
    </xf>
    <xf numFmtId="173" fontId="5" fillId="0" borderId="77" xfId="0" applyNumberFormat="1" applyFont="1" applyBorder="1" applyAlignment="1" applyProtection="1">
      <alignment horizontal="center" vertical="center"/>
    </xf>
    <xf numFmtId="173" fontId="5" fillId="0" borderId="78" xfId="0" applyNumberFormat="1" applyFont="1" applyBorder="1" applyAlignment="1" applyProtection="1">
      <alignment horizontal="center" vertical="center"/>
    </xf>
    <xf numFmtId="173" fontId="5" fillId="0" borderId="32" xfId="0" applyNumberFormat="1" applyFont="1" applyBorder="1" applyAlignment="1" applyProtection="1">
      <alignment horizontal="center" vertical="center"/>
    </xf>
    <xf numFmtId="0" fontId="1" fillId="27" borderId="54" xfId="0" applyFont="1" applyFill="1" applyBorder="1" applyAlignment="1" applyProtection="1">
      <alignment horizontal="center" wrapText="1"/>
    </xf>
    <xf numFmtId="0" fontId="1" fillId="27" borderId="44" xfId="0" applyFont="1" applyFill="1" applyBorder="1" applyAlignment="1" applyProtection="1">
      <alignment horizontal="center" wrapText="1"/>
    </xf>
    <xf numFmtId="0" fontId="1" fillId="27" borderId="44" xfId="0" applyFont="1" applyFill="1" applyBorder="1" applyAlignment="1" applyProtection="1">
      <alignment horizontal="center"/>
    </xf>
    <xf numFmtId="0" fontId="1" fillId="27" borderId="55" xfId="0" applyFont="1" applyFill="1" applyBorder="1" applyAlignment="1" applyProtection="1">
      <alignment horizontal="center"/>
    </xf>
    <xf numFmtId="0" fontId="1" fillId="27" borderId="49" xfId="0" applyFont="1" applyFill="1" applyBorder="1" applyAlignment="1" applyProtection="1">
      <alignment horizontal="center" wrapText="1"/>
    </xf>
    <xf numFmtId="182" fontId="10" fillId="12" borderId="30" xfId="0" applyNumberFormat="1" applyFont="1" applyFill="1" applyBorder="1" applyAlignment="1" applyProtection="1">
      <alignment horizontal="center" vertical="center"/>
    </xf>
    <xf numFmtId="182" fontId="10" fillId="12" borderId="31" xfId="0" applyNumberFormat="1" applyFont="1" applyFill="1" applyBorder="1" applyAlignment="1" applyProtection="1">
      <alignment horizontal="center" vertical="center"/>
    </xf>
    <xf numFmtId="0" fontId="1" fillId="27" borderId="58" xfId="0" applyFont="1" applyFill="1" applyBorder="1" applyAlignment="1" applyProtection="1">
      <alignment horizontal="center" wrapText="1"/>
    </xf>
    <xf numFmtId="182" fontId="10" fillId="12" borderId="78" xfId="0" applyNumberFormat="1" applyFont="1" applyFill="1" applyBorder="1" applyAlignment="1" applyProtection="1">
      <alignment horizontal="center" vertical="center"/>
    </xf>
    <xf numFmtId="182" fontId="10" fillId="12" borderId="77" xfId="0" applyNumberFormat="1" applyFont="1" applyFill="1" applyBorder="1" applyAlignment="1" applyProtection="1">
      <alignment horizontal="center" vertical="center"/>
    </xf>
    <xf numFmtId="182" fontId="10" fillId="12" borderId="32" xfId="0" applyNumberFormat="1" applyFont="1" applyFill="1" applyBorder="1" applyAlignment="1" applyProtection="1">
      <alignment horizontal="center" vertical="center"/>
    </xf>
    <xf numFmtId="0" fontId="1" fillId="27" borderId="60" xfId="0" applyFont="1" applyFill="1" applyBorder="1" applyAlignment="1" applyProtection="1">
      <alignment horizontal="center"/>
    </xf>
    <xf numFmtId="0" fontId="1" fillId="27" borderId="57" xfId="0" applyFont="1" applyFill="1" applyBorder="1" applyAlignment="1" applyProtection="1">
      <alignment horizontal="center"/>
    </xf>
    <xf numFmtId="166" fontId="10" fillId="12" borderId="30" xfId="0" applyNumberFormat="1" applyFont="1" applyFill="1" applyBorder="1" applyAlignment="1" applyProtection="1">
      <alignment horizontal="center" vertical="center"/>
    </xf>
    <xf numFmtId="166" fontId="10" fillId="12" borderId="77" xfId="0" applyNumberFormat="1" applyFont="1" applyFill="1" applyBorder="1" applyAlignment="1" applyProtection="1">
      <alignment horizontal="center" vertical="center"/>
    </xf>
    <xf numFmtId="166" fontId="10" fillId="12" borderId="31" xfId="0" applyNumberFormat="1" applyFont="1" applyFill="1" applyBorder="1" applyAlignment="1" applyProtection="1">
      <alignment horizontal="center" vertical="center"/>
    </xf>
    <xf numFmtId="185" fontId="5" fillId="18" borderId="60" xfId="0" applyNumberFormat="1" applyFont="1" applyFill="1" applyBorder="1" applyAlignment="1" applyProtection="1">
      <alignment horizontal="right" vertical="center"/>
    </xf>
    <xf numFmtId="185" fontId="5" fillId="18" borderId="78" xfId="0" applyNumberFormat="1" applyFont="1" applyFill="1" applyBorder="1" applyAlignment="1" applyProtection="1">
      <alignment horizontal="right" vertical="center"/>
    </xf>
    <xf numFmtId="183" fontId="5" fillId="18" borderId="57" xfId="0" applyNumberFormat="1" applyFont="1" applyFill="1" applyBorder="1" applyAlignment="1" applyProtection="1">
      <alignment horizontal="left" vertical="center"/>
    </xf>
    <xf numFmtId="183" fontId="5" fillId="18" borderId="32" xfId="0" applyNumberFormat="1" applyFont="1" applyFill="1" applyBorder="1" applyAlignment="1" applyProtection="1">
      <alignment horizontal="left" vertical="center"/>
    </xf>
    <xf numFmtId="0" fontId="16" fillId="0" borderId="78" xfId="0" applyFont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/>
    </xf>
    <xf numFmtId="0" fontId="1" fillId="27" borderId="43" xfId="0" applyFont="1" applyFill="1" applyBorder="1" applyAlignment="1" applyProtection="1">
      <alignment horizontal="center" wrapText="1"/>
    </xf>
    <xf numFmtId="0" fontId="16" fillId="0" borderId="80" xfId="0" applyFont="1" applyBorder="1" applyAlignment="1" applyProtection="1">
      <alignment horizontal="center"/>
    </xf>
    <xf numFmtId="0" fontId="16" fillId="0" borderId="63" xfId="0" applyFont="1" applyBorder="1" applyAlignment="1" applyProtection="1">
      <alignment horizontal="center"/>
    </xf>
    <xf numFmtId="0" fontId="16" fillId="0" borderId="62" xfId="0" applyFont="1" applyBorder="1" applyAlignment="1" applyProtection="1">
      <alignment horizontal="center"/>
    </xf>
    <xf numFmtId="0" fontId="1" fillId="27" borderId="43" xfId="0" applyFont="1" applyFill="1" applyBorder="1" applyAlignment="1" applyProtection="1">
      <alignment horizontal="center"/>
    </xf>
    <xf numFmtId="0" fontId="1" fillId="27" borderId="88" xfId="0" applyFont="1" applyFill="1" applyBorder="1" applyAlignment="1" applyProtection="1">
      <alignment horizontal="center"/>
    </xf>
    <xf numFmtId="185" fontId="5" fillId="18" borderId="36" xfId="0" applyNumberFormat="1" applyFont="1" applyFill="1" applyBorder="1" applyAlignment="1" applyProtection="1">
      <alignment horizontal="right" vertical="center"/>
    </xf>
    <xf numFmtId="185" fontId="5" fillId="18" borderId="30" xfId="0" applyNumberFormat="1" applyFont="1" applyFill="1" applyBorder="1" applyAlignment="1" applyProtection="1">
      <alignment horizontal="right" vertical="center"/>
    </xf>
    <xf numFmtId="183" fontId="5" fillId="18" borderId="71" xfId="0" applyNumberFormat="1" applyFont="1" applyFill="1" applyBorder="1" applyAlignment="1" applyProtection="1">
      <alignment horizontal="left" vertical="center"/>
    </xf>
    <xf numFmtId="183" fontId="5" fillId="18" borderId="77" xfId="0" applyNumberFormat="1" applyFont="1" applyFill="1" applyBorder="1" applyAlignment="1" applyProtection="1">
      <alignment horizontal="left" vertical="center"/>
    </xf>
    <xf numFmtId="185" fontId="5" fillId="18" borderId="0" xfId="0" applyNumberFormat="1" applyFont="1" applyFill="1" applyBorder="1" applyAlignment="1" applyProtection="1">
      <alignment horizontal="right" vertical="center"/>
    </xf>
    <xf numFmtId="185" fontId="5" fillId="18" borderId="31" xfId="0" applyNumberFormat="1" applyFont="1" applyFill="1" applyBorder="1" applyAlignment="1" applyProtection="1">
      <alignment horizontal="right" vertical="center"/>
    </xf>
    <xf numFmtId="183" fontId="5" fillId="18" borderId="0" xfId="0" applyNumberFormat="1" applyFont="1" applyFill="1" applyBorder="1" applyAlignment="1" applyProtection="1">
      <alignment horizontal="left" vertical="center"/>
    </xf>
    <xf numFmtId="183" fontId="5" fillId="18" borderId="31" xfId="0" applyNumberFormat="1" applyFont="1" applyFill="1" applyBorder="1" applyAlignment="1" applyProtection="1">
      <alignment horizontal="left" vertical="center"/>
    </xf>
    <xf numFmtId="0" fontId="1" fillId="27" borderId="87" xfId="0" applyFont="1" applyFill="1" applyBorder="1" applyAlignment="1" applyProtection="1">
      <alignment horizontal="center" wrapText="1"/>
    </xf>
    <xf numFmtId="0" fontId="31" fillId="18" borderId="0" xfId="0" applyFont="1" applyFill="1" applyAlignment="1" applyProtection="1">
      <alignment horizontal="right" vertical="center"/>
    </xf>
    <xf numFmtId="0" fontId="56" fillId="18" borderId="43" xfId="0" applyFont="1" applyFill="1" applyBorder="1" applyAlignment="1" applyProtection="1">
      <alignment horizontal="right"/>
    </xf>
    <xf numFmtId="0" fontId="56" fillId="22" borderId="0" xfId="0" applyFont="1" applyFill="1" applyProtection="1">
      <protection locked="0"/>
    </xf>
  </cellXfs>
  <cellStyles count="5">
    <cellStyle name="Lien hypertexte" xfId="4" builtinId="8"/>
    <cellStyle name="Milliers" xfId="1" builtinId="3"/>
    <cellStyle name="Monétaire" xfId="3" builtinId="4"/>
    <cellStyle name="Normal" xfId="0" builtinId="0"/>
    <cellStyle name="Pourcentage" xfId="2" builtinId="5"/>
  </cellStyles>
  <dxfs count="15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numFmt numFmtId="187" formatCode="0.0&quot; mz&quot;"/>
    </dxf>
    <dxf>
      <numFmt numFmtId="188" formatCode="0.0&quot; ha&quot;"/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8F8F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FFFFFF"/>
      <color rgb="FF000000"/>
      <color rgb="FFCC66FF"/>
      <color rgb="FF00CC5C"/>
      <color rgb="FFF43E0C"/>
      <color rgb="FFE9BDFF"/>
      <color rgb="FFFF8F8F"/>
      <color rgb="FF47CFFF"/>
      <color rgb="FFFC9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Escenarios!$E$3</c:f>
              <c:strCache>
                <c:ptCount val="1"/>
                <c:pt idx="0">
                  <c:v>favorable</c:v>
                </c:pt>
              </c:strCache>
            </c:strRef>
          </c:tx>
          <c:spPr>
            <a:ln w="38100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xVal>
            <c:numRef>
              <c:f>Escenarios!$A$4:$A$15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Escenarios!$B$4:$B$15</c:f>
              <c:numCache>
                <c:formatCode>0</c:formatCode>
                <c:ptCount val="12"/>
                <c:pt idx="0">
                  <c:v>44.304222857142861</c:v>
                </c:pt>
                <c:pt idx="1">
                  <c:v>17.721689142857144</c:v>
                </c:pt>
                <c:pt idx="2">
                  <c:v>5.907229714285716</c:v>
                </c:pt>
                <c:pt idx="3">
                  <c:v>1.476807428571429</c:v>
                </c:pt>
                <c:pt idx="4">
                  <c:v>1.476807428571429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34.222499999999997</c:v>
                </c:pt>
                <c:pt idx="9">
                  <c:v>50.649299999999997</c:v>
                </c:pt>
                <c:pt idx="10">
                  <c:v>57.595489714285712</c:v>
                </c:pt>
                <c:pt idx="11">
                  <c:v>51.68826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B-4281-A593-CA10EAB96E31}"/>
            </c:ext>
          </c:extLst>
        </c:ser>
        <c:ser>
          <c:idx val="1"/>
          <c:order val="1"/>
          <c:tx>
            <c:strRef>
              <c:f>Escenarios!$E$18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Escenarios!$A$19:$A$30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Escenarios!$B$19:$B$30</c:f>
              <c:numCache>
                <c:formatCode>0</c:formatCode>
                <c:ptCount val="12"/>
                <c:pt idx="0">
                  <c:v>37.5</c:v>
                </c:pt>
                <c:pt idx="1">
                  <c:v>15</c:v>
                </c:pt>
                <c:pt idx="2">
                  <c:v>5</c:v>
                </c:pt>
                <c:pt idx="3">
                  <c:v>1.25</c:v>
                </c:pt>
                <c:pt idx="4">
                  <c:v>1.25</c:v>
                </c:pt>
                <c:pt idx="5">
                  <c:v>5</c:v>
                </c:pt>
                <c:pt idx="6">
                  <c:v>10</c:v>
                </c:pt>
                <c:pt idx="7">
                  <c:v>18.75</c:v>
                </c:pt>
                <c:pt idx="8">
                  <c:v>31.25</c:v>
                </c:pt>
                <c:pt idx="9">
                  <c:v>43.75</c:v>
                </c:pt>
                <c:pt idx="10">
                  <c:v>48.75</c:v>
                </c:pt>
                <c:pt idx="11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B-4281-A593-CA10EAB96E31}"/>
            </c:ext>
          </c:extLst>
        </c:ser>
        <c:ser>
          <c:idx val="2"/>
          <c:order val="2"/>
          <c:tx>
            <c:strRef>
              <c:f>Escenarios!$E$33</c:f>
              <c:strCache>
                <c:ptCount val="1"/>
                <c:pt idx="0">
                  <c:v>desfavorable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Escenarios!$A$34:$A$45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Escenarios!$B$34:$B$45</c:f>
              <c:numCache>
                <c:formatCode>0</c:formatCode>
                <c:ptCount val="12"/>
                <c:pt idx="0">
                  <c:v>14.027472527472526</c:v>
                </c:pt>
                <c:pt idx="1">
                  <c:v>5.6109890109890106</c:v>
                </c:pt>
                <c:pt idx="2">
                  <c:v>1.8703296703296703</c:v>
                </c:pt>
                <c:pt idx="3">
                  <c:v>0.4675824175824177</c:v>
                </c:pt>
                <c:pt idx="4">
                  <c:v>0.4675824175824177</c:v>
                </c:pt>
                <c:pt idx="5">
                  <c:v>5</c:v>
                </c:pt>
                <c:pt idx="6">
                  <c:v>7.5</c:v>
                </c:pt>
                <c:pt idx="7">
                  <c:v>10.78125</c:v>
                </c:pt>
                <c:pt idx="8">
                  <c:v>14.375</c:v>
                </c:pt>
                <c:pt idx="9">
                  <c:v>17.25</c:v>
                </c:pt>
                <c:pt idx="10">
                  <c:v>18.235714285714284</c:v>
                </c:pt>
                <c:pt idx="11">
                  <c:v>16.365384615384613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6B-4281-A593-CA10EAB96E31}"/>
            </c:ext>
          </c:extLst>
        </c:ser>
        <c:ser>
          <c:idx val="3"/>
          <c:order val="3"/>
          <c:tx>
            <c:strRef>
              <c:f>Escenarios!$E$49</c:f>
              <c:strCache>
                <c:ptCount val="1"/>
                <c:pt idx="0">
                  <c:v>muy favoarbe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Escenarios!$A$51:$A$62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Escenarios!$B$51:$B$62</c:f>
              <c:numCache>
                <c:formatCode>0</c:formatCode>
                <c:ptCount val="12"/>
                <c:pt idx="0">
                  <c:v>55.323115714285713</c:v>
                </c:pt>
                <c:pt idx="1">
                  <c:v>22.129246285714288</c:v>
                </c:pt>
                <c:pt idx="2">
                  <c:v>7.3764154285714305</c:v>
                </c:pt>
                <c:pt idx="3">
                  <c:v>1.8441038571428576</c:v>
                </c:pt>
                <c:pt idx="4">
                  <c:v>1.8441038571428576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37.074374999999996</c:v>
                </c:pt>
                <c:pt idx="9">
                  <c:v>60.801974999999999</c:v>
                </c:pt>
                <c:pt idx="10">
                  <c:v>71.920050428571429</c:v>
                </c:pt>
                <c:pt idx="11">
                  <c:v>64.543634999999995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6B-4281-A593-CA10EAB96E31}"/>
            </c:ext>
          </c:extLst>
        </c:ser>
        <c:ser>
          <c:idx val="4"/>
          <c:order val="4"/>
          <c:tx>
            <c:strRef>
              <c:f>Roya!$C$1</c:f>
              <c:strCache>
                <c:ptCount val="1"/>
                <c:pt idx="0">
                  <c:v>inc.historico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Roya!$A$2:$A$13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Roya!$C$2:$C$13</c:f>
              <c:numCache>
                <c:formatCode>General</c:formatCode>
                <c:ptCount val="12"/>
                <c:pt idx="0">
                  <c:v>30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39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6B-4281-A593-CA10EAB9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2864"/>
        <c:axId val="182454752"/>
      </c:scatterChart>
      <c:valAx>
        <c:axId val="179202864"/>
        <c:scaling>
          <c:orientation val="minMax"/>
          <c:max val="1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4752"/>
        <c:crosses val="autoZero"/>
        <c:crossBetween val="midCat"/>
        <c:majorUnit val="1"/>
      </c:valAx>
      <c:valAx>
        <c:axId val="1824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INCIDENCIA</a:t>
                </a:r>
                <a:r>
                  <a:rPr lang="fr-FR" baseline="0"/>
                  <a:t> DE ROYA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2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Roya!$C$1</c:f>
              <c:strCache>
                <c:ptCount val="1"/>
                <c:pt idx="0">
                  <c:v>inc.historico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Roya!$C$2:$C$13</c:f>
              <c:numCache>
                <c:formatCode>General</c:formatCode>
                <c:ptCount val="12"/>
                <c:pt idx="0">
                  <c:v>30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39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1-403E-A1DB-F6F0EA26D356}"/>
            </c:ext>
          </c:extLst>
        </c:ser>
        <c:ser>
          <c:idx val="0"/>
          <c:order val="1"/>
          <c:tx>
            <c:strRef>
              <c:f>Roya!$D$1</c:f>
              <c:strCache>
                <c:ptCount val="1"/>
                <c:pt idx="0">
                  <c:v>Derivada inc.historico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Roya!$D$2:$D$13</c:f>
              <c:numCache>
                <c:formatCode>0.00</c:formatCode>
                <c:ptCount val="12"/>
                <c:pt idx="0">
                  <c:v>-18</c:v>
                </c:pt>
                <c:pt idx="1">
                  <c:v>-8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-4</c:v>
                </c:pt>
                <c:pt idx="1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6-4F7F-A351-749C6556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55536"/>
        <c:axId val="182455928"/>
      </c:lineChart>
      <c:lineChart>
        <c:grouping val="standard"/>
        <c:varyColors val="0"/>
        <c:ser>
          <c:idx val="2"/>
          <c:order val="2"/>
          <c:tx>
            <c:strRef>
              <c:f>Roya!$E$1</c:f>
              <c:strCache>
                <c:ptCount val="1"/>
                <c:pt idx="0">
                  <c:v>Derivada normalizada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Roya!$E$2:$E$13</c:f>
              <c:numCache>
                <c:formatCode>0%</c:formatCode>
                <c:ptCount val="12"/>
                <c:pt idx="0">
                  <c:v>-0.6</c:v>
                </c:pt>
                <c:pt idx="1">
                  <c:v>-0.66666666666666663</c:v>
                </c:pt>
                <c:pt idx="2">
                  <c:v>-0.75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0.875</c:v>
                </c:pt>
                <c:pt idx="7">
                  <c:v>0.66666666666666663</c:v>
                </c:pt>
                <c:pt idx="8">
                  <c:v>0.4</c:v>
                </c:pt>
                <c:pt idx="9">
                  <c:v>0.11428571428571428</c:v>
                </c:pt>
                <c:pt idx="10">
                  <c:v>-0.10256410256410256</c:v>
                </c:pt>
                <c:pt idx="11">
                  <c:v>-0.14285714285714285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6-4F7F-A351-749C6556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56712"/>
        <c:axId val="182456320"/>
      </c:lineChart>
      <c:catAx>
        <c:axId val="18245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5928"/>
        <c:crosses val="autoZero"/>
        <c:auto val="1"/>
        <c:lblAlgn val="ctr"/>
        <c:lblOffset val="100"/>
        <c:noMultiLvlLbl val="0"/>
      </c:catAx>
      <c:valAx>
        <c:axId val="182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5536"/>
        <c:crosses val="autoZero"/>
        <c:crossBetween val="between"/>
      </c:valAx>
      <c:valAx>
        <c:axId val="182456320"/>
        <c:scaling>
          <c:orientation val="minMax"/>
          <c:max val="2.4"/>
          <c:min val="-1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6712"/>
        <c:crosses val="max"/>
        <c:crossBetween val="between"/>
      </c:valAx>
      <c:catAx>
        <c:axId val="182456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5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Roya!$B$52</c:f>
              <c:strCache>
                <c:ptCount val="1"/>
                <c:pt idx="0">
                  <c:v>Normal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Roya!$A$53:$A$64</c:f>
            </c:numRef>
          </c:xVal>
          <c:yVal>
            <c:numRef>
              <c:f>Roya!$B$53:$B$64</c:f>
            </c:numRef>
          </c:yVal>
          <c:smooth val="0"/>
          <c:extLst>
            <c:ext xmlns:c16="http://schemas.microsoft.com/office/drawing/2014/chart" uri="{C3380CC4-5D6E-409C-BE32-E72D297353CC}">
              <c16:uniqueId val="{00000000-2B89-4E64-9277-C03B27AF8915}"/>
            </c:ext>
          </c:extLst>
        </c:ser>
        <c:ser>
          <c:idx val="1"/>
          <c:order val="1"/>
          <c:tx>
            <c:strRef>
              <c:f>Roya!$C$52</c:f>
              <c:strCache>
                <c:ptCount val="1"/>
                <c:pt idx="0">
                  <c:v>Favorable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Roya!$A$53:$A$64</c:f>
            </c:numRef>
          </c:xVal>
          <c:yVal>
            <c:numRef>
              <c:f>Roya!$C$53:$C$64</c:f>
            </c:numRef>
          </c:yVal>
          <c:smooth val="0"/>
          <c:extLst>
            <c:ext xmlns:c16="http://schemas.microsoft.com/office/drawing/2014/chart" uri="{C3380CC4-5D6E-409C-BE32-E72D297353CC}">
              <c16:uniqueId val="{00000001-2B89-4E64-9277-C03B27AF8915}"/>
            </c:ext>
          </c:extLst>
        </c:ser>
        <c:ser>
          <c:idx val="2"/>
          <c:order val="2"/>
          <c:tx>
            <c:strRef>
              <c:f>Roya!$D$52</c:f>
              <c:strCache>
                <c:ptCount val="1"/>
                <c:pt idx="0">
                  <c:v>Desfavorable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Roya!$A$53:$A$64</c:f>
            </c:numRef>
          </c:xVal>
          <c:yVal>
            <c:numRef>
              <c:f>Roya!$D$53:$D$64</c:f>
            </c:numRef>
          </c:yVal>
          <c:smooth val="0"/>
          <c:extLst>
            <c:ext xmlns:c16="http://schemas.microsoft.com/office/drawing/2014/chart" uri="{C3380CC4-5D6E-409C-BE32-E72D297353CC}">
              <c16:uniqueId val="{00000002-2B89-4E64-9277-C03B27AF8915}"/>
            </c:ext>
          </c:extLst>
        </c:ser>
        <c:ser>
          <c:idx val="3"/>
          <c:order val="3"/>
          <c:tx>
            <c:strRef>
              <c:f>Roya!$E$52</c:f>
              <c:strCache>
                <c:ptCount val="1"/>
                <c:pt idx="0">
                  <c:v>Crisis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Roya!$A$53:$A$64</c:f>
            </c:numRef>
          </c:xVal>
          <c:yVal>
            <c:numRef>
              <c:f>Roya!$E$53:$E$64</c:f>
            </c:numRef>
          </c:yVal>
          <c:smooth val="0"/>
          <c:extLst>
            <c:ext xmlns:c16="http://schemas.microsoft.com/office/drawing/2014/chart" uri="{C3380CC4-5D6E-409C-BE32-E72D297353CC}">
              <c16:uniqueId val="{00000003-2B89-4E64-9277-C03B27A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7496"/>
        <c:axId val="182457888"/>
      </c:scatterChart>
      <c:valAx>
        <c:axId val="1824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7888"/>
        <c:crosses val="autoZero"/>
        <c:crossBetween val="midCat"/>
      </c:valAx>
      <c:valAx>
        <c:axId val="182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Escenarios!$E$3</c:f>
              <c:strCache>
                <c:ptCount val="1"/>
                <c:pt idx="0">
                  <c:v>favorable</c:v>
                </c:pt>
              </c:strCache>
            </c:strRef>
          </c:tx>
          <c:spPr>
            <a:ln w="38100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xVal>
            <c:numRef>
              <c:f>Escenarios!$A$4:$A$15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Escenarios!$B$4:$B$15</c:f>
              <c:numCache>
                <c:formatCode>0</c:formatCode>
                <c:ptCount val="12"/>
                <c:pt idx="0">
                  <c:v>44.304222857142861</c:v>
                </c:pt>
                <c:pt idx="1">
                  <c:v>17.721689142857144</c:v>
                </c:pt>
                <c:pt idx="2">
                  <c:v>5.907229714285716</c:v>
                </c:pt>
                <c:pt idx="3">
                  <c:v>1.476807428571429</c:v>
                </c:pt>
                <c:pt idx="4">
                  <c:v>1.476807428571429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34.222499999999997</c:v>
                </c:pt>
                <c:pt idx="9">
                  <c:v>50.649299999999997</c:v>
                </c:pt>
                <c:pt idx="10">
                  <c:v>57.595489714285712</c:v>
                </c:pt>
                <c:pt idx="11">
                  <c:v>51.68826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5-44FD-882F-E19561CFFCF6}"/>
            </c:ext>
          </c:extLst>
        </c:ser>
        <c:ser>
          <c:idx val="1"/>
          <c:order val="1"/>
          <c:tx>
            <c:strRef>
              <c:f>Escenarios!$E$18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Escenarios!$A$19:$A$30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Escenarios!$B$19:$B$30</c:f>
              <c:numCache>
                <c:formatCode>0</c:formatCode>
                <c:ptCount val="12"/>
                <c:pt idx="0">
                  <c:v>37.5</c:v>
                </c:pt>
                <c:pt idx="1">
                  <c:v>15</c:v>
                </c:pt>
                <c:pt idx="2">
                  <c:v>5</c:v>
                </c:pt>
                <c:pt idx="3">
                  <c:v>1.25</c:v>
                </c:pt>
                <c:pt idx="4">
                  <c:v>1.25</c:v>
                </c:pt>
                <c:pt idx="5">
                  <c:v>5</c:v>
                </c:pt>
                <c:pt idx="6">
                  <c:v>10</c:v>
                </c:pt>
                <c:pt idx="7">
                  <c:v>18.75</c:v>
                </c:pt>
                <c:pt idx="8">
                  <c:v>31.25</c:v>
                </c:pt>
                <c:pt idx="9">
                  <c:v>43.75</c:v>
                </c:pt>
                <c:pt idx="10">
                  <c:v>48.75</c:v>
                </c:pt>
                <c:pt idx="11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5-44FD-882F-E19561CFFCF6}"/>
            </c:ext>
          </c:extLst>
        </c:ser>
        <c:ser>
          <c:idx val="2"/>
          <c:order val="2"/>
          <c:tx>
            <c:strRef>
              <c:f>Escenarios!$E$33</c:f>
              <c:strCache>
                <c:ptCount val="1"/>
                <c:pt idx="0">
                  <c:v>desfavorable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Escenarios!$A$34:$A$45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Escenarios!$B$34:$B$45</c:f>
              <c:numCache>
                <c:formatCode>0</c:formatCode>
                <c:ptCount val="12"/>
                <c:pt idx="0">
                  <c:v>14.027472527472526</c:v>
                </c:pt>
                <c:pt idx="1">
                  <c:v>5.6109890109890106</c:v>
                </c:pt>
                <c:pt idx="2">
                  <c:v>1.8703296703296703</c:v>
                </c:pt>
                <c:pt idx="3">
                  <c:v>0.4675824175824177</c:v>
                </c:pt>
                <c:pt idx="4">
                  <c:v>0.4675824175824177</c:v>
                </c:pt>
                <c:pt idx="5">
                  <c:v>5</c:v>
                </c:pt>
                <c:pt idx="6">
                  <c:v>7.5</c:v>
                </c:pt>
                <c:pt idx="7">
                  <c:v>10.78125</c:v>
                </c:pt>
                <c:pt idx="8">
                  <c:v>14.375</c:v>
                </c:pt>
                <c:pt idx="9">
                  <c:v>17.25</c:v>
                </c:pt>
                <c:pt idx="10">
                  <c:v>18.235714285714284</c:v>
                </c:pt>
                <c:pt idx="11">
                  <c:v>16.365384615384613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5-44FD-882F-E19561CFFCF6}"/>
            </c:ext>
          </c:extLst>
        </c:ser>
        <c:ser>
          <c:idx val="3"/>
          <c:order val="3"/>
          <c:tx>
            <c:strRef>
              <c:f>Escenarios!$E$49</c:f>
              <c:strCache>
                <c:ptCount val="1"/>
                <c:pt idx="0">
                  <c:v>muy favoarbe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Escenarios!$A$51:$A$62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Escenarios!$B$51:$B$62</c:f>
              <c:numCache>
                <c:formatCode>0</c:formatCode>
                <c:ptCount val="12"/>
                <c:pt idx="0">
                  <c:v>55.323115714285713</c:v>
                </c:pt>
                <c:pt idx="1">
                  <c:v>22.129246285714288</c:v>
                </c:pt>
                <c:pt idx="2">
                  <c:v>7.3764154285714305</c:v>
                </c:pt>
                <c:pt idx="3">
                  <c:v>1.8441038571428576</c:v>
                </c:pt>
                <c:pt idx="4">
                  <c:v>1.8441038571428576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37.074374999999996</c:v>
                </c:pt>
                <c:pt idx="9">
                  <c:v>60.801974999999999</c:v>
                </c:pt>
                <c:pt idx="10">
                  <c:v>71.920050428571429</c:v>
                </c:pt>
                <c:pt idx="11">
                  <c:v>64.543634999999995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45-44FD-882F-E19561CFFCF6}"/>
            </c:ext>
          </c:extLst>
        </c:ser>
        <c:ser>
          <c:idx val="4"/>
          <c:order val="4"/>
          <c:tx>
            <c:strRef>
              <c:f>Roya!$C$1</c:f>
              <c:strCache>
                <c:ptCount val="1"/>
                <c:pt idx="0">
                  <c:v>inc.historico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Roya!$A$2:$A$13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Roya!$C$2:$C$13</c:f>
              <c:numCache>
                <c:formatCode>General</c:formatCode>
                <c:ptCount val="12"/>
                <c:pt idx="0">
                  <c:v>30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39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D-4474-A310-9A831143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59280"/>
        <c:axId val="223559672"/>
      </c:scatterChart>
      <c:valAx>
        <c:axId val="223559280"/>
        <c:scaling>
          <c:orientation val="minMax"/>
          <c:max val="1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3559672"/>
        <c:crosses val="autoZero"/>
        <c:crossBetween val="midCat"/>
        <c:majorUnit val="1"/>
      </c:valAx>
      <c:valAx>
        <c:axId val="2235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INCIDENCIA</a:t>
                </a:r>
                <a:r>
                  <a:rPr lang="fr-FR" baseline="0"/>
                  <a:t> DE ROYA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355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bg1"/>
                </a:solidFill>
              </a:rPr>
              <a:t>Incidencia de roya (promedio historico)</a:t>
            </a:r>
          </a:p>
        </c:rich>
      </c:tx>
      <c:layout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291586685992609E-2"/>
          <c:y val="6.9716775599128547E-2"/>
          <c:w val="0.88401613977357307"/>
          <c:h val="0.75069939786938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'Roya historica'!$A$4:$A$15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'Roya historica'!$B$4:$B$15</c:f>
              <c:numCache>
                <c:formatCode>General</c:formatCode>
                <c:ptCount val="12"/>
                <c:pt idx="0">
                  <c:v>30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39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0B4-BCB6-BBF308BB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334832"/>
        <c:axId val="1436327344"/>
      </c:lineChart>
      <c:catAx>
        <c:axId val="14363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6327344"/>
        <c:crosses val="autoZero"/>
        <c:auto val="1"/>
        <c:lblAlgn val="ctr"/>
        <c:lblOffset val="100"/>
        <c:noMultiLvlLbl val="0"/>
      </c:catAx>
      <c:valAx>
        <c:axId val="14363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63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FFC00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Escenarios!$E$3</c:f>
              <c:strCache>
                <c:ptCount val="1"/>
                <c:pt idx="0">
                  <c:v>favorable</c:v>
                </c:pt>
              </c:strCache>
            </c:strRef>
          </c:tx>
          <c:spPr>
            <a:ln w="38100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xVal>
            <c:numRef>
              <c:f>Escenarios!$A$4:$A$15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Escenarios!$B$4:$B$15</c:f>
              <c:numCache>
                <c:formatCode>0</c:formatCode>
                <c:ptCount val="12"/>
                <c:pt idx="0">
                  <c:v>44.304222857142861</c:v>
                </c:pt>
                <c:pt idx="1">
                  <c:v>17.721689142857144</c:v>
                </c:pt>
                <c:pt idx="2">
                  <c:v>5.907229714285716</c:v>
                </c:pt>
                <c:pt idx="3">
                  <c:v>1.476807428571429</c:v>
                </c:pt>
                <c:pt idx="4">
                  <c:v>1.476807428571429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34.222499999999997</c:v>
                </c:pt>
                <c:pt idx="9">
                  <c:v>50.649299999999997</c:v>
                </c:pt>
                <c:pt idx="10">
                  <c:v>57.595489714285712</c:v>
                </c:pt>
                <c:pt idx="11">
                  <c:v>51.68826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665-AD66-9D76E8AA05E9}"/>
            </c:ext>
          </c:extLst>
        </c:ser>
        <c:ser>
          <c:idx val="1"/>
          <c:order val="1"/>
          <c:tx>
            <c:strRef>
              <c:f>Escenarios!$E$18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Escenarios!$A$19:$A$30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Escenarios!$B$19:$B$30</c:f>
              <c:numCache>
                <c:formatCode>0</c:formatCode>
                <c:ptCount val="12"/>
                <c:pt idx="0">
                  <c:v>37.5</c:v>
                </c:pt>
                <c:pt idx="1">
                  <c:v>15</c:v>
                </c:pt>
                <c:pt idx="2">
                  <c:v>5</c:v>
                </c:pt>
                <c:pt idx="3">
                  <c:v>1.25</c:v>
                </c:pt>
                <c:pt idx="4">
                  <c:v>1.25</c:v>
                </c:pt>
                <c:pt idx="5">
                  <c:v>5</c:v>
                </c:pt>
                <c:pt idx="6">
                  <c:v>10</c:v>
                </c:pt>
                <c:pt idx="7">
                  <c:v>18.75</c:v>
                </c:pt>
                <c:pt idx="8">
                  <c:v>31.25</c:v>
                </c:pt>
                <c:pt idx="9">
                  <c:v>43.75</c:v>
                </c:pt>
                <c:pt idx="10">
                  <c:v>48.75</c:v>
                </c:pt>
                <c:pt idx="11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D-4665-AD66-9D76E8AA05E9}"/>
            </c:ext>
          </c:extLst>
        </c:ser>
        <c:ser>
          <c:idx val="2"/>
          <c:order val="2"/>
          <c:tx>
            <c:strRef>
              <c:f>Escenarios!$E$33</c:f>
              <c:strCache>
                <c:ptCount val="1"/>
                <c:pt idx="0">
                  <c:v>desfavorable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Escenarios!$A$34:$A$45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Escenarios!$B$34:$B$45</c:f>
              <c:numCache>
                <c:formatCode>0</c:formatCode>
                <c:ptCount val="12"/>
                <c:pt idx="0">
                  <c:v>14.027472527472526</c:v>
                </c:pt>
                <c:pt idx="1">
                  <c:v>5.6109890109890106</c:v>
                </c:pt>
                <c:pt idx="2">
                  <c:v>1.8703296703296703</c:v>
                </c:pt>
                <c:pt idx="3">
                  <c:v>0.4675824175824177</c:v>
                </c:pt>
                <c:pt idx="4">
                  <c:v>0.4675824175824177</c:v>
                </c:pt>
                <c:pt idx="5">
                  <c:v>5</c:v>
                </c:pt>
                <c:pt idx="6">
                  <c:v>7.5</c:v>
                </c:pt>
                <c:pt idx="7">
                  <c:v>10.78125</c:v>
                </c:pt>
                <c:pt idx="8">
                  <c:v>14.375</c:v>
                </c:pt>
                <c:pt idx="9">
                  <c:v>17.25</c:v>
                </c:pt>
                <c:pt idx="10">
                  <c:v>18.235714285714284</c:v>
                </c:pt>
                <c:pt idx="11">
                  <c:v>16.365384615384613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D-4665-AD66-9D76E8AA05E9}"/>
            </c:ext>
          </c:extLst>
        </c:ser>
        <c:ser>
          <c:idx val="3"/>
          <c:order val="3"/>
          <c:tx>
            <c:strRef>
              <c:f>Escenarios!$E$49</c:f>
              <c:strCache>
                <c:ptCount val="1"/>
                <c:pt idx="0">
                  <c:v>muy favoarbe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Escenarios!$A$51:$A$62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Escenarios!$B$51:$B$62</c:f>
              <c:numCache>
                <c:formatCode>0</c:formatCode>
                <c:ptCount val="12"/>
                <c:pt idx="0">
                  <c:v>55.323115714285713</c:v>
                </c:pt>
                <c:pt idx="1">
                  <c:v>22.129246285714288</c:v>
                </c:pt>
                <c:pt idx="2">
                  <c:v>7.3764154285714305</c:v>
                </c:pt>
                <c:pt idx="3">
                  <c:v>1.8441038571428576</c:v>
                </c:pt>
                <c:pt idx="4">
                  <c:v>1.8441038571428576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37.074374999999996</c:v>
                </c:pt>
                <c:pt idx="9">
                  <c:v>60.801974999999999</c:v>
                </c:pt>
                <c:pt idx="10">
                  <c:v>71.920050428571429</c:v>
                </c:pt>
                <c:pt idx="11">
                  <c:v>64.543634999999995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D-4665-AD66-9D76E8AA05E9}"/>
            </c:ext>
          </c:extLst>
        </c:ser>
        <c:ser>
          <c:idx val="4"/>
          <c:order val="4"/>
          <c:tx>
            <c:strRef>
              <c:f>Roya!$C$1</c:f>
              <c:strCache>
                <c:ptCount val="1"/>
                <c:pt idx="0">
                  <c:v>inc.historico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Roya!$A$2:$A$13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Roya!$C$2:$C$13</c:f>
              <c:numCache>
                <c:formatCode>General</c:formatCode>
                <c:ptCount val="12"/>
                <c:pt idx="0">
                  <c:v>30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39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D-4665-AD66-9D76E8AA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2864"/>
        <c:axId val="182454752"/>
      </c:scatterChart>
      <c:valAx>
        <c:axId val="179202864"/>
        <c:scaling>
          <c:orientation val="minMax"/>
          <c:max val="1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4752"/>
        <c:crosses val="autoZero"/>
        <c:crossBetween val="midCat"/>
        <c:majorUnit val="1"/>
      </c:valAx>
      <c:valAx>
        <c:axId val="1824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INCIDENCIA</a:t>
                </a:r>
                <a:r>
                  <a:rPr lang="fr-FR" baseline="0"/>
                  <a:t> DE ROYA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2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Escenarios!$E$3</c:f>
              <c:strCache>
                <c:ptCount val="1"/>
                <c:pt idx="0">
                  <c:v>favorable</c:v>
                </c:pt>
              </c:strCache>
            </c:strRef>
          </c:tx>
          <c:spPr>
            <a:ln w="38100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xVal>
            <c:numRef>
              <c:f>Escenarios!$A$4:$A$15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Escenarios!$B$4:$B$15</c:f>
              <c:numCache>
                <c:formatCode>0</c:formatCode>
                <c:ptCount val="12"/>
                <c:pt idx="0">
                  <c:v>44.304222857142861</c:v>
                </c:pt>
                <c:pt idx="1">
                  <c:v>17.721689142857144</c:v>
                </c:pt>
                <c:pt idx="2">
                  <c:v>5.907229714285716</c:v>
                </c:pt>
                <c:pt idx="3">
                  <c:v>1.476807428571429</c:v>
                </c:pt>
                <c:pt idx="4">
                  <c:v>1.476807428571429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34.222499999999997</c:v>
                </c:pt>
                <c:pt idx="9">
                  <c:v>50.649299999999997</c:v>
                </c:pt>
                <c:pt idx="10">
                  <c:v>57.595489714285712</c:v>
                </c:pt>
                <c:pt idx="11">
                  <c:v>51.68826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3-4D7E-8F20-384FF72CA152}"/>
            </c:ext>
          </c:extLst>
        </c:ser>
        <c:ser>
          <c:idx val="1"/>
          <c:order val="1"/>
          <c:tx>
            <c:strRef>
              <c:f>Escenarios!$E$18</c:f>
              <c:strCache>
                <c:ptCount val="1"/>
                <c:pt idx="0">
                  <c:v>normal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Escenarios!$A$19:$A$30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Escenarios!$B$19:$B$30</c:f>
              <c:numCache>
                <c:formatCode>0</c:formatCode>
                <c:ptCount val="12"/>
                <c:pt idx="0">
                  <c:v>37.5</c:v>
                </c:pt>
                <c:pt idx="1">
                  <c:v>15</c:v>
                </c:pt>
                <c:pt idx="2">
                  <c:v>5</c:v>
                </c:pt>
                <c:pt idx="3">
                  <c:v>1.25</c:v>
                </c:pt>
                <c:pt idx="4">
                  <c:v>1.25</c:v>
                </c:pt>
                <c:pt idx="5">
                  <c:v>5</c:v>
                </c:pt>
                <c:pt idx="6">
                  <c:v>10</c:v>
                </c:pt>
                <c:pt idx="7">
                  <c:v>18.75</c:v>
                </c:pt>
                <c:pt idx="8">
                  <c:v>31.25</c:v>
                </c:pt>
                <c:pt idx="9">
                  <c:v>43.75</c:v>
                </c:pt>
                <c:pt idx="10">
                  <c:v>48.75</c:v>
                </c:pt>
                <c:pt idx="11">
                  <c:v>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3-4D7E-8F20-384FF72CA152}"/>
            </c:ext>
          </c:extLst>
        </c:ser>
        <c:ser>
          <c:idx val="2"/>
          <c:order val="2"/>
          <c:tx>
            <c:strRef>
              <c:f>Escenarios!$E$33</c:f>
              <c:strCache>
                <c:ptCount val="1"/>
                <c:pt idx="0">
                  <c:v>desfavorable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Escenarios!$A$34:$A$45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Escenarios!$B$34:$B$45</c:f>
              <c:numCache>
                <c:formatCode>0</c:formatCode>
                <c:ptCount val="12"/>
                <c:pt idx="0">
                  <c:v>14.027472527472526</c:v>
                </c:pt>
                <c:pt idx="1">
                  <c:v>5.6109890109890106</c:v>
                </c:pt>
                <c:pt idx="2">
                  <c:v>1.8703296703296703</c:v>
                </c:pt>
                <c:pt idx="3">
                  <c:v>0.4675824175824177</c:v>
                </c:pt>
                <c:pt idx="4">
                  <c:v>0.4675824175824177</c:v>
                </c:pt>
                <c:pt idx="5">
                  <c:v>5</c:v>
                </c:pt>
                <c:pt idx="6">
                  <c:v>7.5</c:v>
                </c:pt>
                <c:pt idx="7">
                  <c:v>10.78125</c:v>
                </c:pt>
                <c:pt idx="8">
                  <c:v>14.375</c:v>
                </c:pt>
                <c:pt idx="9">
                  <c:v>17.25</c:v>
                </c:pt>
                <c:pt idx="10">
                  <c:v>18.235714285714284</c:v>
                </c:pt>
                <c:pt idx="11">
                  <c:v>16.365384615384613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3-4D7E-8F20-384FF72CA152}"/>
            </c:ext>
          </c:extLst>
        </c:ser>
        <c:ser>
          <c:idx val="3"/>
          <c:order val="3"/>
          <c:tx>
            <c:strRef>
              <c:f>Escenarios!$E$49</c:f>
              <c:strCache>
                <c:ptCount val="1"/>
                <c:pt idx="0">
                  <c:v>muy favoarbe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Escenarios!$A$51:$A$62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Escenarios!$B$51:$B$62</c:f>
              <c:numCache>
                <c:formatCode>0</c:formatCode>
                <c:ptCount val="12"/>
                <c:pt idx="0">
                  <c:v>55.323115714285713</c:v>
                </c:pt>
                <c:pt idx="1">
                  <c:v>22.129246285714288</c:v>
                </c:pt>
                <c:pt idx="2">
                  <c:v>7.3764154285714305</c:v>
                </c:pt>
                <c:pt idx="3">
                  <c:v>1.8441038571428576</c:v>
                </c:pt>
                <c:pt idx="4">
                  <c:v>1.8441038571428576</c:v>
                </c:pt>
                <c:pt idx="5">
                  <c:v>5</c:v>
                </c:pt>
                <c:pt idx="6">
                  <c:v>9.75</c:v>
                </c:pt>
                <c:pt idx="7">
                  <c:v>19.012499999999999</c:v>
                </c:pt>
                <c:pt idx="8">
                  <c:v>37.074374999999996</c:v>
                </c:pt>
                <c:pt idx="9">
                  <c:v>60.801974999999999</c:v>
                </c:pt>
                <c:pt idx="10">
                  <c:v>71.920050428571429</c:v>
                </c:pt>
                <c:pt idx="11">
                  <c:v>64.543634999999995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3-4D7E-8F20-384FF72CA152}"/>
            </c:ext>
          </c:extLst>
        </c:ser>
        <c:ser>
          <c:idx val="4"/>
          <c:order val="4"/>
          <c:tx>
            <c:strRef>
              <c:f>Roya!$C$1</c:f>
              <c:strCache>
                <c:ptCount val="1"/>
                <c:pt idx="0">
                  <c:v>inc.historico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Roya!$A$2:$A$13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Roya!$C$2:$C$13</c:f>
              <c:numCache>
                <c:formatCode>General</c:formatCode>
                <c:ptCount val="12"/>
                <c:pt idx="0">
                  <c:v>30</c:v>
                </c:pt>
                <c:pt idx="1">
                  <c:v>12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25</c:v>
                </c:pt>
                <c:pt idx="9">
                  <c:v>35</c:v>
                </c:pt>
                <c:pt idx="10">
                  <c:v>39</c:v>
                </c:pt>
                <c:pt idx="1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3-4D7E-8F20-384FF72C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2864"/>
        <c:axId val="182454752"/>
      </c:scatterChart>
      <c:valAx>
        <c:axId val="179202864"/>
        <c:scaling>
          <c:orientation val="minMax"/>
          <c:max val="12.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454752"/>
        <c:crosses val="autoZero"/>
        <c:crossBetween val="midCat"/>
        <c:majorUnit val="1"/>
      </c:valAx>
      <c:valAx>
        <c:axId val="1824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INCIDENCIA</a:t>
                </a:r>
                <a:r>
                  <a:rPr lang="fr-FR" baseline="0"/>
                  <a:t> DE ROYA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2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34</xdr:row>
      <xdr:rowOff>252789</xdr:rowOff>
    </xdr:from>
    <xdr:to>
      <xdr:col>31</xdr:col>
      <xdr:colOff>361950</xdr:colOff>
      <xdr:row>43</xdr:row>
      <xdr:rowOff>227263</xdr:rowOff>
    </xdr:to>
    <xdr:grpSp>
      <xdr:nvGrpSpPr>
        <xdr:cNvPr id="4" name="Groupe 3"/>
        <xdr:cNvGrpSpPr/>
      </xdr:nvGrpSpPr>
      <xdr:grpSpPr>
        <a:xfrm>
          <a:off x="25150233" y="9587289"/>
          <a:ext cx="6305550" cy="3001307"/>
          <a:chOff x="10010774" y="361950"/>
          <a:chExt cx="5076825" cy="3067050"/>
        </a:xfrm>
      </xdr:grpSpPr>
      <xdr:graphicFrame macro="">
        <xdr:nvGraphicFramePr>
          <xdr:cNvPr id="5" name="Graphique 4"/>
          <xdr:cNvGraphicFramePr/>
        </xdr:nvGraphicFramePr>
        <xdr:xfrm>
          <a:off x="10010774" y="361950"/>
          <a:ext cx="5076825" cy="30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ZoneTexte 5"/>
          <xdr:cNvSpPr txBox="1"/>
        </xdr:nvSpPr>
        <xdr:spPr>
          <a:xfrm>
            <a:off x="13868399" y="1019175"/>
            <a:ext cx="1209676" cy="374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fr-FR" sz="900"/>
              <a:t>Condiciones de crecimiento de roya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0</xdr:row>
      <xdr:rowOff>171450</xdr:rowOff>
    </xdr:from>
    <xdr:to>
      <xdr:col>19</xdr:col>
      <xdr:colOff>257174</xdr:colOff>
      <xdr:row>13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50</xdr:row>
      <xdr:rowOff>166687</xdr:rowOff>
    </xdr:from>
    <xdr:to>
      <xdr:col>12</xdr:col>
      <xdr:colOff>104774</xdr:colOff>
      <xdr:row>65</xdr:row>
      <xdr:rowOff>52387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1</xdr:row>
      <xdr:rowOff>171450</xdr:rowOff>
    </xdr:from>
    <xdr:to>
      <xdr:col>9</xdr:col>
      <xdr:colOff>1162049</xdr:colOff>
      <xdr:row>18</xdr:row>
      <xdr:rowOff>0</xdr:rowOff>
    </xdr:to>
    <xdr:grpSp>
      <xdr:nvGrpSpPr>
        <xdr:cNvPr id="4" name="Groupe 3"/>
        <xdr:cNvGrpSpPr/>
      </xdr:nvGrpSpPr>
      <xdr:grpSpPr>
        <a:xfrm>
          <a:off x="10010774" y="361950"/>
          <a:ext cx="5076825" cy="3067050"/>
          <a:chOff x="10010774" y="361950"/>
          <a:chExt cx="5076825" cy="3067050"/>
        </a:xfrm>
      </xdr:grpSpPr>
      <xdr:graphicFrame macro="">
        <xdr:nvGraphicFramePr>
          <xdr:cNvPr id="2" name="Graphique 1"/>
          <xdr:cNvGraphicFramePr/>
        </xdr:nvGraphicFramePr>
        <xdr:xfrm>
          <a:off x="10010774" y="361950"/>
          <a:ext cx="5076825" cy="30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ZoneTexte 2"/>
          <xdr:cNvSpPr txBox="1"/>
        </xdr:nvSpPr>
        <xdr:spPr>
          <a:xfrm>
            <a:off x="13868399" y="1019175"/>
            <a:ext cx="1209676" cy="3740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fr-FR" sz="900"/>
              <a:t>Condiciones de crecimiento de roya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9525</xdr:rowOff>
    </xdr:from>
    <xdr:to>
      <xdr:col>10</xdr:col>
      <xdr:colOff>0</xdr:colOff>
      <xdr:row>14</xdr:row>
      <xdr:rowOff>219074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81487</xdr:rowOff>
    </xdr:from>
    <xdr:to>
      <xdr:col>2</xdr:col>
      <xdr:colOff>1971674</xdr:colOff>
      <xdr:row>16</xdr:row>
      <xdr:rowOff>0</xdr:rowOff>
    </xdr:to>
    <xdr:grpSp>
      <xdr:nvGrpSpPr>
        <xdr:cNvPr id="2" name="Groupe 1"/>
        <xdr:cNvGrpSpPr/>
      </xdr:nvGrpSpPr>
      <xdr:grpSpPr>
        <a:xfrm>
          <a:off x="9524" y="1676925"/>
          <a:ext cx="5153025" cy="3966638"/>
          <a:chOff x="12681437" y="1616703"/>
          <a:chExt cx="5351112" cy="2524833"/>
        </a:xfrm>
      </xdr:grpSpPr>
      <xdr:graphicFrame macro="">
        <xdr:nvGraphicFramePr>
          <xdr:cNvPr id="3" name="Graphique 2"/>
          <xdr:cNvGraphicFramePr/>
        </xdr:nvGraphicFramePr>
        <xdr:xfrm>
          <a:off x="12681437" y="1616703"/>
          <a:ext cx="5351112" cy="2524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ZoneTexte 3"/>
          <xdr:cNvSpPr txBox="1"/>
        </xdr:nvSpPr>
        <xdr:spPr>
          <a:xfrm>
            <a:off x="16662166" y="2328517"/>
            <a:ext cx="1217788" cy="2702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fr-FR" sz="900"/>
              <a:t>Condiciones de crecimiento de roya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81487</xdr:rowOff>
    </xdr:from>
    <xdr:to>
      <xdr:col>2</xdr:col>
      <xdr:colOff>1971674</xdr:colOff>
      <xdr:row>16</xdr:row>
      <xdr:rowOff>0</xdr:rowOff>
    </xdr:to>
    <xdr:grpSp>
      <xdr:nvGrpSpPr>
        <xdr:cNvPr id="2" name="Groupe 1"/>
        <xdr:cNvGrpSpPr/>
      </xdr:nvGrpSpPr>
      <xdr:grpSpPr>
        <a:xfrm>
          <a:off x="9524" y="1676925"/>
          <a:ext cx="5153025" cy="3966638"/>
          <a:chOff x="12681437" y="1616703"/>
          <a:chExt cx="5351112" cy="2524833"/>
        </a:xfrm>
      </xdr:grpSpPr>
      <xdr:graphicFrame macro="">
        <xdr:nvGraphicFramePr>
          <xdr:cNvPr id="3" name="Graphique 2"/>
          <xdr:cNvGraphicFramePr/>
        </xdr:nvGraphicFramePr>
        <xdr:xfrm>
          <a:off x="12681437" y="1616703"/>
          <a:ext cx="5351112" cy="25248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ZoneTexte 3"/>
          <xdr:cNvSpPr txBox="1"/>
        </xdr:nvSpPr>
        <xdr:spPr>
          <a:xfrm>
            <a:off x="16662166" y="2328517"/>
            <a:ext cx="1217788" cy="2702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fr-FR" sz="900"/>
              <a:t>Condiciones de crecimiento de roya</a:t>
            </a:r>
          </a:p>
        </xdr:txBody>
      </xdr:sp>
    </xdr:grpSp>
    <xdr:clientData/>
  </xdr:twoCellAnchor>
  <xdr:twoCellAnchor>
    <xdr:from>
      <xdr:col>0</xdr:col>
      <xdr:colOff>23812</xdr:colOff>
      <xdr:row>0</xdr:row>
      <xdr:rowOff>0</xdr:rowOff>
    </xdr:from>
    <xdr:to>
      <xdr:col>3</xdr:col>
      <xdr:colOff>0</xdr:colOff>
      <xdr:row>16</xdr:row>
      <xdr:rowOff>-1</xdr:rowOff>
    </xdr:to>
    <xdr:sp macro="" textlink="">
      <xdr:nvSpPr>
        <xdr:cNvPr id="6" name="Rectangle 5"/>
        <xdr:cNvSpPr/>
      </xdr:nvSpPr>
      <xdr:spPr>
        <a:xfrm>
          <a:off x="23812" y="0"/>
          <a:ext cx="5143501" cy="5643562"/>
        </a:xfrm>
        <a:prstGeom prst="rect">
          <a:avLst/>
        </a:prstGeom>
        <a:solidFill>
          <a:srgbClr val="FFFFFF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3"/>
  <sheetViews>
    <sheetView topLeftCell="A47" zoomScale="90" zoomScaleNormal="90" workbookViewId="0">
      <selection activeCell="E59" sqref="E59"/>
    </sheetView>
  </sheetViews>
  <sheetFormatPr baseColWidth="10" defaultRowHeight="18.75" x14ac:dyDescent="0.3"/>
  <cols>
    <col min="1" max="1" width="100.42578125" style="27" customWidth="1"/>
    <col min="2" max="2" width="14" style="27" customWidth="1"/>
    <col min="3" max="3" width="14.5703125" style="27" customWidth="1"/>
    <col min="4" max="4" width="14.28515625" style="27" customWidth="1"/>
    <col min="5" max="5" width="14.85546875" style="27" customWidth="1"/>
    <col min="6" max="6" width="15" style="27" customWidth="1"/>
    <col min="7" max="7" width="14.28515625" style="191" customWidth="1"/>
    <col min="8" max="8" width="82.28515625" style="27" hidden="1" customWidth="1"/>
    <col min="9" max="9" width="11.42578125" style="27"/>
    <col min="10" max="10" width="27.28515625" style="27" customWidth="1"/>
    <col min="11" max="16384" width="11.42578125" style="27"/>
  </cols>
  <sheetData>
    <row r="1" spans="1:8" ht="34.5" thickBot="1" x14ac:dyDescent="0.55000000000000004">
      <c r="A1" s="423" t="str">
        <f>'Sistema de produccion'!A3</f>
        <v>USULUTAN</v>
      </c>
      <c r="B1" s="424"/>
      <c r="C1" s="424"/>
      <c r="D1" s="425"/>
      <c r="E1" s="66"/>
      <c r="F1" s="25"/>
      <c r="H1" s="26" t="s">
        <v>98</v>
      </c>
    </row>
    <row r="2" spans="1:8" ht="65.25" customHeight="1" thickTop="1" thickBot="1" x14ac:dyDescent="0.35">
      <c r="A2" s="149" t="s">
        <v>7</v>
      </c>
      <c r="B2" s="438" t="str">
        <f>'Sistema de produccion'!C3</f>
        <v>Familiar</v>
      </c>
      <c r="C2" s="439"/>
      <c r="D2" s="440"/>
      <c r="E2" s="29"/>
      <c r="F2" s="28"/>
      <c r="H2" s="29" t="s">
        <v>42</v>
      </c>
    </row>
    <row r="3" spans="1:8" ht="38.25" customHeight="1" thickTop="1" thickBot="1" x14ac:dyDescent="0.35">
      <c r="A3" s="150" t="s">
        <v>150</v>
      </c>
      <c r="B3" s="426">
        <f>'Sistema de produccion'!C5</f>
        <v>3000</v>
      </c>
      <c r="C3" s="427"/>
      <c r="D3" s="428"/>
      <c r="E3" s="29"/>
      <c r="H3" s="29"/>
    </row>
    <row r="4" spans="1:8" ht="21.75" thickTop="1" x14ac:dyDescent="0.35">
      <c r="A4" s="444" t="s">
        <v>37</v>
      </c>
      <c r="B4" s="445"/>
      <c r="C4" s="445"/>
      <c r="D4" s="446"/>
      <c r="F4" s="30"/>
    </row>
    <row r="5" spans="1:8" x14ac:dyDescent="0.3">
      <c r="A5" s="133" t="s">
        <v>143</v>
      </c>
      <c r="B5" s="441">
        <f>'Sistema de produccion'!A5</f>
        <v>700</v>
      </c>
      <c r="C5" s="442"/>
      <c r="D5" s="443"/>
      <c r="E5" s="119"/>
      <c r="F5" s="31"/>
      <c r="H5" s="27" t="s">
        <v>32</v>
      </c>
    </row>
    <row r="6" spans="1:8" x14ac:dyDescent="0.3">
      <c r="A6" s="134" t="s">
        <v>110</v>
      </c>
      <c r="B6" s="432">
        <f>'Sistema de produccion'!F3</f>
        <v>2</v>
      </c>
      <c r="C6" s="433"/>
      <c r="D6" s="434"/>
      <c r="E6" s="119"/>
      <c r="F6" s="31"/>
    </row>
    <row r="7" spans="1:8" x14ac:dyDescent="0.3">
      <c r="A7" s="134" t="s">
        <v>144</v>
      </c>
      <c r="B7" s="432">
        <f>'Sistema de produccion'!F5</f>
        <v>30</v>
      </c>
      <c r="C7" s="433"/>
      <c r="D7" s="434"/>
      <c r="F7" s="31"/>
      <c r="H7" s="27" t="s">
        <v>87</v>
      </c>
    </row>
    <row r="8" spans="1:8" x14ac:dyDescent="0.3">
      <c r="A8" s="154" t="s">
        <v>111</v>
      </c>
      <c r="B8" s="447">
        <f>Roya!C32</f>
        <v>39</v>
      </c>
      <c r="C8" s="448"/>
      <c r="D8" s="449"/>
      <c r="E8" s="32"/>
      <c r="F8" s="31"/>
      <c r="H8" s="32" t="s">
        <v>89</v>
      </c>
    </row>
    <row r="9" spans="1:8" s="34" customFormat="1" x14ac:dyDescent="0.3">
      <c r="A9" s="136" t="s">
        <v>31</v>
      </c>
      <c r="B9" s="414">
        <f>'Sistema de produccion'!C9</f>
        <v>1500</v>
      </c>
      <c r="C9" s="415"/>
      <c r="D9" s="416"/>
      <c r="E9" s="119"/>
      <c r="F9" s="35"/>
      <c r="G9" s="191"/>
      <c r="H9" s="32" t="s">
        <v>88</v>
      </c>
    </row>
    <row r="10" spans="1:8" x14ac:dyDescent="0.3">
      <c r="A10" s="134" t="s">
        <v>148</v>
      </c>
      <c r="B10" s="432">
        <f>'Sistema de produccion'!A9</f>
        <v>5</v>
      </c>
      <c r="C10" s="433"/>
      <c r="D10" s="434"/>
      <c r="E10" s="119"/>
      <c r="F10" s="31"/>
    </row>
    <row r="11" spans="1:8" s="37" customFormat="1" x14ac:dyDescent="0.3">
      <c r="A11" s="135" t="s">
        <v>112</v>
      </c>
      <c r="B11" s="414">
        <f>'Sistema de produccion'!A11</f>
        <v>1200</v>
      </c>
      <c r="C11" s="415"/>
      <c r="D11" s="416"/>
      <c r="E11" s="32"/>
      <c r="F11" s="36"/>
      <c r="G11" s="192"/>
      <c r="H11" s="37" t="s">
        <v>63</v>
      </c>
    </row>
    <row r="12" spans="1:8" s="39" customFormat="1" x14ac:dyDescent="0.3">
      <c r="A12" s="135" t="s">
        <v>149</v>
      </c>
      <c r="B12" s="411">
        <f>'Sistema de produccion'!M5</f>
        <v>2</v>
      </c>
      <c r="C12" s="412"/>
      <c r="D12" s="413"/>
      <c r="E12" s="32"/>
      <c r="F12" s="38"/>
      <c r="G12" s="193"/>
      <c r="H12" s="37" t="s">
        <v>64</v>
      </c>
    </row>
    <row r="13" spans="1:8" s="39" customFormat="1" x14ac:dyDescent="0.3">
      <c r="A13" s="135" t="s">
        <v>162</v>
      </c>
      <c r="B13" s="378">
        <v>1</v>
      </c>
      <c r="C13" s="379"/>
      <c r="D13" s="380"/>
      <c r="E13" s="169"/>
      <c r="F13" s="168"/>
      <c r="G13" s="193"/>
      <c r="H13" s="37"/>
    </row>
    <row r="14" spans="1:8" s="34" customFormat="1" x14ac:dyDescent="0.3">
      <c r="A14" s="135" t="s">
        <v>192</v>
      </c>
      <c r="B14" s="435">
        <f>'Mano de obra e insumos'!F36</f>
        <v>15</v>
      </c>
      <c r="C14" s="436"/>
      <c r="D14" s="437"/>
      <c r="E14" s="32"/>
      <c r="F14" s="33"/>
      <c r="G14" s="194"/>
      <c r="H14" s="32" t="s">
        <v>44</v>
      </c>
    </row>
    <row r="15" spans="1:8" s="41" customFormat="1" x14ac:dyDescent="0.3">
      <c r="A15" s="135" t="s">
        <v>155</v>
      </c>
      <c r="B15" s="411">
        <f>'Sistema de produccion'!H9</f>
        <v>0</v>
      </c>
      <c r="C15" s="412"/>
      <c r="D15" s="413"/>
      <c r="E15" s="41" t="s">
        <v>270</v>
      </c>
      <c r="F15" s="40"/>
      <c r="G15" s="195"/>
      <c r="H15" s="37" t="s">
        <v>43</v>
      </c>
    </row>
    <row r="16" spans="1:8" s="41" customFormat="1" x14ac:dyDescent="0.3">
      <c r="A16" s="154" t="s">
        <v>168</v>
      </c>
      <c r="B16" s="381" t="str">
        <f>'Sistema de produccion'!H5</f>
        <v>alto</v>
      </c>
      <c r="C16" s="382"/>
      <c r="D16" s="383"/>
      <c r="F16" s="40"/>
      <c r="G16" s="195"/>
      <c r="H16" s="37"/>
    </row>
    <row r="17" spans="1:11" s="41" customFormat="1" x14ac:dyDescent="0.3">
      <c r="A17" s="154" t="s">
        <v>169</v>
      </c>
      <c r="B17" s="384">
        <f>VLOOKUP(B16,tabla.costo.insumos,2,FALSE)*VLOOKUP(B21,tabla.factor.costo.insumos,2,FALSE)*area.prod</f>
        <v>469</v>
      </c>
      <c r="C17" s="385"/>
      <c r="D17" s="386"/>
      <c r="E17" s="41" t="s">
        <v>262</v>
      </c>
      <c r="F17" s="40"/>
      <c r="G17" s="195"/>
      <c r="H17" s="37"/>
    </row>
    <row r="18" spans="1:11" s="39" customFormat="1" ht="19.5" thickBot="1" x14ac:dyDescent="0.35">
      <c r="A18" s="135" t="s">
        <v>151</v>
      </c>
      <c r="B18" s="414">
        <f>'Sistema de produccion'!H11</f>
        <v>0</v>
      </c>
      <c r="C18" s="415"/>
      <c r="D18" s="416"/>
      <c r="F18" s="42"/>
      <c r="G18" s="193"/>
      <c r="H18" s="27" t="s">
        <v>39</v>
      </c>
    </row>
    <row r="19" spans="1:11" ht="21.75" thickTop="1" x14ac:dyDescent="0.35">
      <c r="A19" s="420" t="s">
        <v>38</v>
      </c>
      <c r="B19" s="421"/>
      <c r="C19" s="421"/>
      <c r="D19" s="422"/>
      <c r="F19" s="5"/>
      <c r="H19" s="27" t="s">
        <v>40</v>
      </c>
      <c r="K19" s="43"/>
    </row>
    <row r="20" spans="1:11" x14ac:dyDescent="0.3">
      <c r="A20" s="137" t="s">
        <v>28</v>
      </c>
      <c r="B20" s="417">
        <f>'Sistema de produccion'!H3</f>
        <v>100</v>
      </c>
      <c r="C20" s="418"/>
      <c r="D20" s="419"/>
      <c r="E20" s="27" t="s">
        <v>264</v>
      </c>
      <c r="F20" s="5"/>
      <c r="H20" s="27" t="s">
        <v>102</v>
      </c>
    </row>
    <row r="21" spans="1:11" x14ac:dyDescent="0.3">
      <c r="A21" s="138" t="s">
        <v>176</v>
      </c>
      <c r="B21" s="373" t="str">
        <f>'Sistema de produccion'!F11</f>
        <v>bajo</v>
      </c>
      <c r="C21" s="374"/>
      <c r="D21" s="375"/>
      <c r="E21" s="66" t="s">
        <v>265</v>
      </c>
      <c r="F21" s="5"/>
    </row>
    <row r="22" spans="1:11" x14ac:dyDescent="0.3">
      <c r="A22" s="138" t="s">
        <v>154</v>
      </c>
      <c r="B22" s="373">
        <f>'Sistema de produccion'!F9</f>
        <v>50</v>
      </c>
      <c r="C22" s="374"/>
      <c r="D22" s="375"/>
      <c r="F22" s="5"/>
      <c r="H22" s="27" t="s">
        <v>52</v>
      </c>
    </row>
    <row r="23" spans="1:11" x14ac:dyDescent="0.3">
      <c r="A23" s="138" t="s">
        <v>113</v>
      </c>
      <c r="B23" s="373">
        <f>'Sistema de produccion'!K5</f>
        <v>5</v>
      </c>
      <c r="C23" s="374"/>
      <c r="D23" s="375"/>
      <c r="F23" s="5"/>
      <c r="H23" s="27" t="s">
        <v>51</v>
      </c>
    </row>
    <row r="24" spans="1:11" x14ac:dyDescent="0.3">
      <c r="A24" s="139" t="s">
        <v>156</v>
      </c>
      <c r="B24" s="373">
        <f>'Sistema de produccion'!K9</f>
        <v>75</v>
      </c>
      <c r="C24" s="374"/>
      <c r="D24" s="375"/>
      <c r="E24" s="206"/>
      <c r="F24" s="5"/>
      <c r="H24" s="27" t="s">
        <v>101</v>
      </c>
    </row>
    <row r="25" spans="1:11" x14ac:dyDescent="0.3">
      <c r="A25" s="140" t="s">
        <v>245</v>
      </c>
      <c r="B25" s="373">
        <f>salario.peon</f>
        <v>150</v>
      </c>
      <c r="C25" s="374"/>
      <c r="D25" s="375"/>
      <c r="E25" s="206"/>
      <c r="F25" s="5"/>
    </row>
    <row r="26" spans="1:11" ht="19.5" thickBot="1" x14ac:dyDescent="0.35">
      <c r="A26" s="140" t="s">
        <v>114</v>
      </c>
      <c r="B26" s="393">
        <f>'Sistema de produccion'!M9</f>
        <v>200</v>
      </c>
      <c r="C26" s="394"/>
      <c r="D26" s="395"/>
      <c r="E26" s="162"/>
      <c r="F26" s="45"/>
    </row>
    <row r="27" spans="1:11" ht="19.5" thickTop="1" x14ac:dyDescent="0.3">
      <c r="A27" s="44" t="s">
        <v>2</v>
      </c>
      <c r="B27" s="429">
        <f>ingresos.otros+rendimiento.esperado*area.prod*precio.cafe</f>
        <v>7500</v>
      </c>
      <c r="C27" s="430"/>
      <c r="D27" s="431"/>
      <c r="E27" s="163"/>
      <c r="F27" s="47"/>
    </row>
    <row r="28" spans="1:11" x14ac:dyDescent="0.3">
      <c r="A28" s="46" t="s">
        <v>34</v>
      </c>
      <c r="B28" s="390">
        <f>($B$17+salario.jornal*nb.jornales+nb.peones*salario.peon*12+costos.prod.otros)*(1+costos.indirectos/100)</f>
        <v>2344</v>
      </c>
      <c r="C28" s="391"/>
      <c r="D28" s="392"/>
      <c r="E28" s="163" t="s">
        <v>263</v>
      </c>
      <c r="F28" s="47"/>
    </row>
    <row r="29" spans="1:11" x14ac:dyDescent="0.3">
      <c r="A29" s="46" t="s">
        <v>103</v>
      </c>
      <c r="B29" s="390">
        <f>area.prod*rendimiento.esperado*precio.cafe</f>
        <v>6000</v>
      </c>
      <c r="C29" s="391"/>
      <c r="D29" s="392"/>
      <c r="E29" s="163"/>
      <c r="F29" s="47"/>
    </row>
    <row r="30" spans="1:11" ht="19.5" thickBot="1" x14ac:dyDescent="0.35">
      <c r="A30" s="202" t="s">
        <v>116</v>
      </c>
      <c r="B30" s="405">
        <f>gastos.alim.familia</f>
        <v>1200</v>
      </c>
      <c r="C30" s="406"/>
      <c r="D30" s="407"/>
      <c r="E30" s="164" t="s">
        <v>141</v>
      </c>
      <c r="F30" s="42"/>
      <c r="H30" s="27" t="s">
        <v>54</v>
      </c>
    </row>
    <row r="31" spans="1:11" ht="19.5" thickTop="1" x14ac:dyDescent="0.3">
      <c r="A31" s="48" t="s">
        <v>115</v>
      </c>
      <c r="B31" s="396">
        <f>ingresos.total-costos.prod.tot-B30</f>
        <v>3956</v>
      </c>
      <c r="C31" s="397"/>
      <c r="D31" s="398"/>
      <c r="E31" s="165"/>
      <c r="F31" s="49"/>
    </row>
    <row r="32" spans="1:11" ht="27" thickBot="1" x14ac:dyDescent="0.45">
      <c r="A32" s="152" t="s">
        <v>161</v>
      </c>
      <c r="B32" s="408">
        <f>'Sistema de produccion'!C11-'Sistema de produccion'!A11</f>
        <v>2300</v>
      </c>
      <c r="C32" s="409"/>
      <c r="D32" s="410"/>
      <c r="E32" s="27" t="s">
        <v>271</v>
      </c>
      <c r="F32" s="30"/>
      <c r="G32" s="196"/>
    </row>
    <row r="33" spans="1:10" s="50" customFormat="1" ht="27.75" hidden="1" thickTop="1" thickBot="1" x14ac:dyDescent="0.45">
      <c r="A33" s="122" t="s">
        <v>92</v>
      </c>
      <c r="B33" s="399" t="str">
        <f>IF(B$5=0,"",IF(niv.manejo="alto","optimo",IF(niv.manejo="medio","regular","deficiente")))</f>
        <v>optimo</v>
      </c>
      <c r="C33" s="400"/>
      <c r="D33" s="401"/>
      <c r="E33" s="127"/>
      <c r="F33" s="170" t="s">
        <v>174</v>
      </c>
      <c r="G33" s="197"/>
      <c r="H33" s="50" t="s">
        <v>41</v>
      </c>
    </row>
    <row r="34" spans="1:10" ht="29.25" thickTop="1" x14ac:dyDescent="0.45">
      <c r="A34" s="146" t="s">
        <v>173</v>
      </c>
      <c r="B34" s="402">
        <f>VLOOKUP('Pronostico Año en curso'!A4,num.mes,2,FALSE)</f>
        <v>6</v>
      </c>
      <c r="C34" s="403"/>
      <c r="D34" s="404"/>
      <c r="F34" s="66"/>
      <c r="H34" s="27" t="s">
        <v>57</v>
      </c>
    </row>
    <row r="35" spans="1:10" ht="29.25" thickBot="1" x14ac:dyDescent="0.5">
      <c r="A35" s="147" t="s">
        <v>45</v>
      </c>
      <c r="B35" s="387">
        <v>5</v>
      </c>
      <c r="C35" s="388"/>
      <c r="D35" s="389"/>
      <c r="F35" s="151"/>
      <c r="H35" s="27" t="s">
        <v>57</v>
      </c>
    </row>
    <row r="36" spans="1:10" ht="35.25" thickTop="1" thickBot="1" x14ac:dyDescent="0.55000000000000004">
      <c r="A36" s="148" t="s">
        <v>46</v>
      </c>
      <c r="B36" s="207"/>
      <c r="C36" s="208"/>
      <c r="D36" s="209"/>
      <c r="E36" s="210"/>
      <c r="H36" s="27" t="s">
        <v>58</v>
      </c>
    </row>
    <row r="37" spans="1:10" ht="58.5" customHeight="1" thickTop="1" x14ac:dyDescent="0.3">
      <c r="A37" s="141" t="s">
        <v>248</v>
      </c>
      <c r="B37" s="2" t="s">
        <v>118</v>
      </c>
      <c r="C37" s="51" t="s">
        <v>29</v>
      </c>
      <c r="D37" s="52" t="s">
        <v>30</v>
      </c>
      <c r="E37" s="53" t="s">
        <v>104</v>
      </c>
      <c r="F37" s="198" t="str">
        <f>B60</f>
        <v>con manejo xtra roya</v>
      </c>
      <c r="G37" s="233" t="s">
        <v>179</v>
      </c>
      <c r="H37" s="27" t="s">
        <v>35</v>
      </c>
      <c r="J37" s="130"/>
    </row>
    <row r="38" spans="1:10" x14ac:dyDescent="0.3">
      <c r="A38" s="142" t="s">
        <v>33</v>
      </c>
      <c r="B38" s="58">
        <f ca="1">inc.max.normal</f>
        <v>48.75</v>
      </c>
      <c r="C38" s="59">
        <f ca="1">inc.max.favorable</f>
        <v>57.595489714285712</v>
      </c>
      <c r="D38" s="60">
        <f ca="1">inc.max.desfavorable</f>
        <v>18.235714285714284</v>
      </c>
      <c r="E38" s="61">
        <f ca="1">inc.max.crisis</f>
        <v>71.920050428571429</v>
      </c>
      <c r="F38" s="199">
        <f>B63</f>
        <v>5</v>
      </c>
      <c r="G38" s="310">
        <f>roya.historico</f>
        <v>39</v>
      </c>
      <c r="H38" s="27" t="s">
        <v>68</v>
      </c>
      <c r="J38" s="27" t="s">
        <v>193</v>
      </c>
    </row>
    <row r="39" spans="1:10" x14ac:dyDescent="0.3">
      <c r="A39" s="142" t="s">
        <v>244</v>
      </c>
      <c r="B39" s="62">
        <f ca="1">'Mano de obra e insumos'!G36*salario.jornal+12*nb.peones*salario.peon</f>
        <v>1816.5</v>
      </c>
      <c r="C39" s="59">
        <f ca="1">'Mano de obra e insumos'!H36*salario.jornal+12*nb.peones*salario.peon</f>
        <v>1800</v>
      </c>
      <c r="D39" s="64">
        <f ca="1">'Mano de obra e insumos'!I36*salario.jornal+12*nb.peones*salario.peon</f>
        <v>1999.5857142857142</v>
      </c>
      <c r="E39" s="65">
        <f ca="1">'Mano de obra e insumos'!J36*salario.jornal+12*nb.peones*salario.peon</f>
        <v>1800</v>
      </c>
      <c r="F39" s="200">
        <f>'Mano de obra e insumos'!K36*salario.jornal+12*nb.peones*salario.peon</f>
        <v>2079</v>
      </c>
      <c r="G39" s="228">
        <f>'Mano de obra e insumos'!F36*salario.jornal+12*nb.peones*salario.peon</f>
        <v>1875</v>
      </c>
      <c r="H39" s="66"/>
    </row>
    <row r="40" spans="1:10" ht="19.5" thickBot="1" x14ac:dyDescent="0.35">
      <c r="A40" s="143" t="s">
        <v>131</v>
      </c>
      <c r="B40" s="67">
        <f t="shared" ref="B40:G40" ca="1" si="0">-ingresos.café*(B38-roya.historico)/2/100</f>
        <v>-292.5</v>
      </c>
      <c r="C40" s="68">
        <f t="shared" ca="1" si="0"/>
        <v>-557.8646914285714</v>
      </c>
      <c r="D40" s="69">
        <f t="shared" ca="1" si="0"/>
        <v>622.92857142857144</v>
      </c>
      <c r="E40" s="70">
        <f t="shared" ca="1" si="0"/>
        <v>-987.60151285714278</v>
      </c>
      <c r="F40" s="201">
        <f t="shared" si="0"/>
        <v>1020</v>
      </c>
      <c r="G40" s="228">
        <f t="shared" si="0"/>
        <v>0</v>
      </c>
      <c r="H40" s="27" t="s">
        <v>69</v>
      </c>
    </row>
    <row r="41" spans="1:10" ht="20.25" thickTop="1" thickBot="1" x14ac:dyDescent="0.35">
      <c r="A41" s="159" t="s">
        <v>135</v>
      </c>
      <c r="B41" s="357">
        <f t="shared" ref="B41:G41" ca="1" si="1">rendimiento.esperado*(1-(B38-roya.historico)/200)</f>
        <v>28.537500000000001</v>
      </c>
      <c r="C41" s="358">
        <f t="shared" ca="1" si="1"/>
        <v>27.210676542857144</v>
      </c>
      <c r="D41" s="359">
        <f t="shared" ca="1" si="1"/>
        <v>33.114642857142854</v>
      </c>
      <c r="E41" s="360">
        <f t="shared" ca="1" si="1"/>
        <v>25.061992435714288</v>
      </c>
      <c r="F41" s="361">
        <f t="shared" si="1"/>
        <v>35.099999999999994</v>
      </c>
      <c r="G41" s="362">
        <f t="shared" si="1"/>
        <v>30</v>
      </c>
    </row>
    <row r="42" spans="1:10" ht="19.5" thickTop="1" x14ac:dyDescent="0.3">
      <c r="A42" s="75" t="s">
        <v>3</v>
      </c>
      <c r="B42" s="318">
        <f t="shared" ref="B42:G42" ca="1" si="2">margen+B40-B39+$G$39</f>
        <v>3722</v>
      </c>
      <c r="C42" s="319">
        <f t="shared" ca="1" si="2"/>
        <v>3473.1353085714286</v>
      </c>
      <c r="D42" s="320">
        <f t="shared" ca="1" si="2"/>
        <v>4454.3428571428576</v>
      </c>
      <c r="E42" s="321">
        <f t="shared" ca="1" si="2"/>
        <v>3043.3984871428574</v>
      </c>
      <c r="F42" s="322">
        <f>margen+F40-F39+$G$39-B62</f>
        <v>4571</v>
      </c>
      <c r="G42" s="228">
        <f t="shared" si="2"/>
        <v>3956</v>
      </c>
    </row>
    <row r="43" spans="1:10" x14ac:dyDescent="0.3">
      <c r="A43" s="76"/>
      <c r="B43" s="77" t="str">
        <f ca="1">IF($B$5=0,"",IF(B42&lt;0,"critico",IF(margen.a1.hist&lt;umbral,"insostenible","sostenible")))</f>
        <v>sostenible</v>
      </c>
      <c r="C43" s="77" t="str">
        <f ca="1">IF($B$5=0,"",IF(C42&lt;0,"critico",IF(margen.a1.fav&lt;umbral,"insostenible","sostenible")))</f>
        <v>sostenible</v>
      </c>
      <c r="D43" s="77" t="str">
        <f ca="1">IF($B$5=0,"",IF(D42&lt;0,"critico",IF(margen.a1.noFav&lt;umbral,"insostenible","sostenible")))</f>
        <v>sostenible</v>
      </c>
      <c r="E43" s="77" t="str">
        <f ca="1">IF($B$5=0,"",IF(E42&lt;0,"critico",IF(margen.a1.crisis&lt;umbral,"insostenible","sostenible")))</f>
        <v>sostenible</v>
      </c>
      <c r="F43" s="222" t="str">
        <f>IF($B$5=0,"",IF(F42&lt;0,"critico",IF(margen.a1.trat&lt;umbral,"insostenible","sostenible")))</f>
        <v>sostenible</v>
      </c>
      <c r="G43" s="229" t="str">
        <f>IF($B$5=0,"",IF(G42&lt;0,"critico",IF(margen.a1.ref&lt;umbral,"insostenible","sostenible")))</f>
        <v>sostenible</v>
      </c>
      <c r="H43" s="27" t="s">
        <v>72</v>
      </c>
    </row>
    <row r="44" spans="1:10" ht="21" x14ac:dyDescent="0.35">
      <c r="A44" s="131" t="s">
        <v>53</v>
      </c>
      <c r="B44" s="132"/>
      <c r="C44" s="132"/>
      <c r="D44" s="132"/>
      <c r="E44" s="132"/>
      <c r="F44" s="132"/>
      <c r="G44" s="227"/>
      <c r="H44" s="27" t="s">
        <v>60</v>
      </c>
    </row>
    <row r="45" spans="1:10" ht="18.75" customHeight="1" x14ac:dyDescent="0.3">
      <c r="A45" s="78" t="s">
        <v>107</v>
      </c>
      <c r="B45" s="79">
        <f ca="1">(B42+gastos.alim.familia)+B39</f>
        <v>6738.5</v>
      </c>
      <c r="C45" s="80">
        <f ca="1">(C42+gastos.alim.familia)+C39</f>
        <v>6473.1353085714291</v>
      </c>
      <c r="D45" s="81">
        <f ca="1">(D42+gastos.alim.familia)+D39</f>
        <v>7653.9285714285716</v>
      </c>
      <c r="E45" s="82">
        <f ca="1">(E42+gastos.alim.familia)+E39</f>
        <v>6043.3984871428574</v>
      </c>
      <c r="F45" s="223">
        <f>(margen.a1.trat+gastos.alim.familia)+F39</f>
        <v>7850</v>
      </c>
      <c r="G45" s="230">
        <f>(margen.a1.ref+gastos.alim.familia)+G39</f>
        <v>7031</v>
      </c>
      <c r="H45" s="27" t="s">
        <v>49</v>
      </c>
      <c r="I45" s="27" t="s">
        <v>269</v>
      </c>
    </row>
    <row r="46" spans="1:10" x14ac:dyDescent="0.3">
      <c r="A46" s="83" t="s">
        <v>55</v>
      </c>
      <c r="B46" s="155">
        <f t="shared" ref="B46:G46" ca="1" si="3">B45*num.familias</f>
        <v>20215500</v>
      </c>
      <c r="C46" s="156">
        <f t="shared" ca="1" si="3"/>
        <v>19419405.925714288</v>
      </c>
      <c r="D46" s="157">
        <f t="shared" ca="1" si="3"/>
        <v>22961785.714285716</v>
      </c>
      <c r="E46" s="158">
        <f t="shared" ca="1" si="3"/>
        <v>18130195.461428571</v>
      </c>
      <c r="F46" s="224">
        <f t="shared" si="3"/>
        <v>23550000</v>
      </c>
      <c r="G46" s="231">
        <f t="shared" si="3"/>
        <v>21093000</v>
      </c>
      <c r="H46" s="84"/>
    </row>
    <row r="47" spans="1:10" x14ac:dyDescent="0.3">
      <c r="A47" s="78" t="s">
        <v>108</v>
      </c>
      <c r="B47" s="79">
        <f ca="1">(margen.a1.hist+gastos.alim.familia)/tamano.familia</f>
        <v>984.4</v>
      </c>
      <c r="C47" s="80">
        <f ca="1">(margen.a1.fav+gastos.alim.familia)/tamano.familia</f>
        <v>934.62706171428579</v>
      </c>
      <c r="D47" s="81">
        <f ca="1">(margen.a1.noFav+gastos.alim.familia)/tamano.familia</f>
        <v>1130.8685714285716</v>
      </c>
      <c r="E47" s="82">
        <f ca="1">(margen.a1.crisis+gastos.alim.familia)/tamano.familia</f>
        <v>848.67969742857144</v>
      </c>
      <c r="F47" s="223">
        <f>(margen.a1.trat+gastos.alim.familia)/tamano.familia</f>
        <v>1154.2</v>
      </c>
      <c r="G47" s="230">
        <f>(margen.a1.ref+gastos.alim.familia)/tamano.familia</f>
        <v>1031.2</v>
      </c>
      <c r="H47" s="66"/>
    </row>
    <row r="48" spans="1:10" x14ac:dyDescent="0.3">
      <c r="A48" s="78" t="s">
        <v>109</v>
      </c>
      <c r="B48" s="363">
        <f t="shared" ref="B48:G48" ca="1" si="4">B47/(canasta.basica*12)</f>
        <v>1.0937777777777777</v>
      </c>
      <c r="C48" s="364">
        <f t="shared" ca="1" si="4"/>
        <v>1.038474513015873</v>
      </c>
      <c r="D48" s="365">
        <f t="shared" ca="1" si="4"/>
        <v>1.256520634920635</v>
      </c>
      <c r="E48" s="366">
        <f t="shared" ca="1" si="4"/>
        <v>0.94297744158730157</v>
      </c>
      <c r="F48" s="367">
        <f t="shared" si="4"/>
        <v>1.2824444444444445</v>
      </c>
      <c r="G48" s="368">
        <f t="shared" si="4"/>
        <v>1.1457777777777778</v>
      </c>
      <c r="H48" s="27" t="s">
        <v>62</v>
      </c>
    </row>
    <row r="49" spans="1:9" x14ac:dyDescent="0.3">
      <c r="A49" s="78" t="s">
        <v>137</v>
      </c>
      <c r="B49" s="363">
        <f ca="1">IF(B47&lt;0,"inf",('Mano de obra e insumos'!$B$4*12*salario.jornal)/B47)</f>
        <v>1.5237708248679398</v>
      </c>
      <c r="C49" s="364">
        <f ca="1">IF(C47&lt;0,"inf",('Mano de obra e insumos'!$B$4*12*salario.jornal)/C47)</f>
        <v>1.6049182197321694</v>
      </c>
      <c r="D49" s="365">
        <f ca="1">IF(D47&lt;0,"inf",('Mano de obra e insumos'!$B$4*12*salario.jornal)/D47)</f>
        <v>1.3264140837384157</v>
      </c>
      <c r="E49" s="366">
        <f ca="1">IF(E47&lt;0,"inf",('Mano de obra e insumos'!$B$4*12*salario.jornal)/E47)</f>
        <v>1.7674512593442198</v>
      </c>
      <c r="F49" s="367">
        <f>('Mano de obra e insumos'!$B$4*12*salario.jornal)/F47</f>
        <v>1.2996014555536302</v>
      </c>
      <c r="G49" s="368">
        <f>IF(G47&lt;0,"inf",('Mano de obra e insumos'!$B$4*12*salario.jornal)/G47)</f>
        <v>1.4546159813809154</v>
      </c>
    </row>
    <row r="50" spans="1:9" x14ac:dyDescent="0.3">
      <c r="A50" s="78" t="s">
        <v>138</v>
      </c>
      <c r="B50" s="363">
        <f ca="1">IF(B47&lt;0,"inf",(12*salario.minimo)/B47)</f>
        <v>2.4380333197887039</v>
      </c>
      <c r="C50" s="364">
        <f ca="1">IF(C47&lt;0,"inf",(12*salario.minimo)/C47)</f>
        <v>2.5678691515714709</v>
      </c>
      <c r="D50" s="365">
        <f ca="1">IF(D47&lt;0,"inf",(12*salario.minimo)/D47)</f>
        <v>2.1222625339814654</v>
      </c>
      <c r="E50" s="366">
        <f ca="1">IF(E47&lt;0,"inf",(12*salario.minimo)/E47)</f>
        <v>2.8279220149507518</v>
      </c>
      <c r="F50" s="367">
        <f>(12*salario.minimo)/F47</f>
        <v>2.0793623288858081</v>
      </c>
      <c r="G50" s="368">
        <f>IF(G47&lt;0,"inf",(12*salario.minimo)/G47)</f>
        <v>2.3273855702094646</v>
      </c>
      <c r="H50" s="27" t="s">
        <v>90</v>
      </c>
    </row>
    <row r="51" spans="1:9" x14ac:dyDescent="0.3">
      <c r="A51" s="85" t="s">
        <v>61</v>
      </c>
      <c r="B51" s="376">
        <f>precio.cafe</f>
        <v>100</v>
      </c>
      <c r="C51" s="377"/>
      <c r="D51" s="377"/>
      <c r="E51" s="377"/>
      <c r="F51" s="377"/>
      <c r="G51" s="227"/>
      <c r="H51" s="86"/>
    </row>
    <row r="52" spans="1:9" x14ac:dyDescent="0.3">
      <c r="A52" s="78" t="s">
        <v>255</v>
      </c>
      <c r="B52" s="67">
        <f ca="1">(B39+costos.prod.otros+costos.insumos)*(1+costos.indirectos/100)</f>
        <v>2285.5</v>
      </c>
      <c r="C52" s="68">
        <f ca="1">(C39+costos.prod.otros+costos.insumos)*(1+costos.indirectos/100)</f>
        <v>2269</v>
      </c>
      <c r="D52" s="69">
        <f ca="1">(D39+costos.prod.otros+costos.insumos)*(1+costos.indirectos/100)</f>
        <v>2468.5857142857139</v>
      </c>
      <c r="E52" s="70">
        <f ca="1">(E39+costos.prod.otros+costos.insumos)*(1+costos.indirectos/100)</f>
        <v>2269</v>
      </c>
      <c r="F52" s="201">
        <f>(F39+costos.prod.otros+costos.insumos+B62)*(1+costos.indirectos/100)</f>
        <v>2749</v>
      </c>
      <c r="G52" s="227">
        <f>(salario.jornal*nb.jornales+nb.peones*salario.peon*12+costos.prod.otros+costos.insumos)*(1+costos.indirectos/100)</f>
        <v>2344</v>
      </c>
      <c r="H52" s="86"/>
    </row>
    <row r="53" spans="1:9" x14ac:dyDescent="0.3">
      <c r="A53" s="78" t="s">
        <v>119</v>
      </c>
      <c r="B53" s="67">
        <f t="shared" ref="B53:G53" ca="1" si="5">B52/(B41*area.prod)</f>
        <v>40.043802014892684</v>
      </c>
      <c r="C53" s="68">
        <f t="shared" ca="1" si="5"/>
        <v>41.693193413002753</v>
      </c>
      <c r="D53" s="69">
        <f t="shared" ca="1" si="5"/>
        <v>37.273325352401287</v>
      </c>
      <c r="E53" s="70">
        <f t="shared" ca="1" si="5"/>
        <v>45.267749677527419</v>
      </c>
      <c r="F53" s="201">
        <f t="shared" si="5"/>
        <v>39.159544159544168</v>
      </c>
      <c r="G53" s="228">
        <f t="shared" si="5"/>
        <v>39.06666666666667</v>
      </c>
      <c r="H53" s="86" t="s">
        <v>70</v>
      </c>
    </row>
    <row r="54" spans="1:9" x14ac:dyDescent="0.3">
      <c r="A54" s="87" t="s">
        <v>272</v>
      </c>
      <c r="B54" s="67">
        <f t="shared" ref="B54:G54" ca="1" si="6">(B52+umbral+gastos.alim.familia-ingresos.otros)/(B41*area.prod)</f>
        <v>75.085413929040726</v>
      </c>
      <c r="C54" s="68">
        <f t="shared" ca="1" si="6"/>
        <v>78.443474076733693</v>
      </c>
      <c r="D54" s="69">
        <f t="shared" ca="1" si="6"/>
        <v>67.47144659785809</v>
      </c>
      <c r="E54" s="70">
        <f t="shared" ca="1" si="6"/>
        <v>85.168807127970268</v>
      </c>
      <c r="F54" s="201">
        <f t="shared" si="6"/>
        <v>67.649572649572661</v>
      </c>
      <c r="G54" s="228">
        <f t="shared" si="6"/>
        <v>72.400000000000006</v>
      </c>
      <c r="H54" s="86"/>
    </row>
    <row r="55" spans="1:9" x14ac:dyDescent="0.3">
      <c r="A55" s="87" t="s">
        <v>121</v>
      </c>
      <c r="B55" s="371">
        <v>5000</v>
      </c>
      <c r="C55" s="372"/>
      <c r="D55" s="372"/>
      <c r="E55" s="372"/>
      <c r="F55" s="372"/>
      <c r="G55" s="227"/>
      <c r="H55" s="86"/>
    </row>
    <row r="56" spans="1:9" x14ac:dyDescent="0.3">
      <c r="A56" s="88" t="s">
        <v>266</v>
      </c>
      <c r="B56" s="67">
        <f t="shared" ref="B56:G56" ca="1" si="7">precio.tierra*0.03-(B41*precio.cafe*area.prod-B52)/area.prod</f>
        <v>-1561</v>
      </c>
      <c r="C56" s="68">
        <f t="shared" ca="1" si="7"/>
        <v>-1436.5676542857145</v>
      </c>
      <c r="D56" s="69">
        <f t="shared" ca="1" si="7"/>
        <v>-1927.1714285714284</v>
      </c>
      <c r="E56" s="70">
        <f t="shared" ca="1" si="7"/>
        <v>-1221.6992435714287</v>
      </c>
      <c r="F56" s="201">
        <f t="shared" si="7"/>
        <v>-1985.4999999999995</v>
      </c>
      <c r="G56" s="228">
        <f t="shared" si="7"/>
        <v>-1678</v>
      </c>
      <c r="H56" s="86" t="s">
        <v>36</v>
      </c>
      <c r="I56" s="27" t="s">
        <v>267</v>
      </c>
    </row>
    <row r="57" spans="1:9" ht="19.5" thickBot="1" x14ac:dyDescent="0.35">
      <c r="A57" s="89" t="s">
        <v>134</v>
      </c>
      <c r="B57" s="71">
        <f t="shared" ref="B57:G57" ca="1" si="8">(precio.tierra*0.03+B52/area.prod)/B41</f>
        <v>45.300043802014891</v>
      </c>
      <c r="C57" s="72">
        <f t="shared" ca="1" si="8"/>
        <v>47.205735512562399</v>
      </c>
      <c r="D57" s="73">
        <f t="shared" ca="1" si="8"/>
        <v>41.803043539219807</v>
      </c>
      <c r="E57" s="74">
        <f t="shared" ca="1" si="8"/>
        <v>51.252908295093846</v>
      </c>
      <c r="F57" s="226">
        <f t="shared" si="8"/>
        <v>43.433048433048441</v>
      </c>
      <c r="G57" s="228">
        <f t="shared" si="8"/>
        <v>44.06666666666667</v>
      </c>
      <c r="H57" s="86" t="s">
        <v>59</v>
      </c>
      <c r="I57" s="27" t="s">
        <v>268</v>
      </c>
    </row>
    <row r="58" spans="1:9" ht="19.5" thickTop="1" x14ac:dyDescent="0.3">
      <c r="H58" s="90" t="s">
        <v>71</v>
      </c>
    </row>
    <row r="59" spans="1:9" ht="19.5" thickBot="1" x14ac:dyDescent="0.35"/>
    <row r="60" spans="1:9" ht="36.75" thickTop="1" x14ac:dyDescent="0.3">
      <c r="A60" s="144" t="s">
        <v>105</v>
      </c>
      <c r="B60" s="125" t="s">
        <v>106</v>
      </c>
      <c r="C60" s="123"/>
      <c r="D60" s="123"/>
      <c r="E60" s="123"/>
      <c r="F60" s="123"/>
    </row>
    <row r="61" spans="1:9" ht="28.5" x14ac:dyDescent="0.3">
      <c r="A61" s="145" t="s">
        <v>139</v>
      </c>
      <c r="B61" s="126">
        <f>MAX(0,ROUND((VLOOKUP("cosecha",Roya!$B$2:$L$13,11,0)-mes)/1.5,0))</f>
        <v>3</v>
      </c>
      <c r="C61" s="27" t="s">
        <v>262</v>
      </c>
      <c r="D61" s="370" t="s">
        <v>277</v>
      </c>
      <c r="E61" s="123"/>
      <c r="F61" s="123"/>
    </row>
    <row r="62" spans="1:9" ht="28.5" x14ac:dyDescent="0.3">
      <c r="A62" s="145" t="s">
        <v>140</v>
      </c>
      <c r="B62" s="128">
        <f>B61*costo.1tratamientoRoya*area.prod*VLOOKUP($B$21,tabla.factor.costo.insumos,2,FALSE)</f>
        <v>201</v>
      </c>
      <c r="D62" s="123"/>
      <c r="E62" s="123"/>
      <c r="F62" s="123"/>
    </row>
    <row r="63" spans="1:9" ht="19.5" thickBot="1" x14ac:dyDescent="0.35">
      <c r="A63" s="160" t="s">
        <v>33</v>
      </c>
      <c r="B63" s="161">
        <f>B35</f>
        <v>5</v>
      </c>
      <c r="C63" s="27" t="s">
        <v>273</v>
      </c>
      <c r="D63" s="124"/>
      <c r="E63" s="124"/>
      <c r="F63" s="124"/>
    </row>
    <row r="64" spans="1:9" s="313" customFormat="1" ht="19.5" thickTop="1" x14ac:dyDescent="0.3">
      <c r="C64" s="314"/>
      <c r="D64" s="314"/>
      <c r="E64" s="314"/>
      <c r="F64" s="314"/>
    </row>
    <row r="65" spans="1:10" s="313" customFormat="1" ht="19.5" thickBot="1" x14ac:dyDescent="0.35"/>
    <row r="66" spans="1:10" ht="58.5" customHeight="1" thickTop="1" x14ac:dyDescent="0.3">
      <c r="A66" s="141" t="s">
        <v>249</v>
      </c>
      <c r="B66" s="2" t="s">
        <v>118</v>
      </c>
      <c r="C66" s="51" t="s">
        <v>29</v>
      </c>
      <c r="D66" s="52" t="s">
        <v>30</v>
      </c>
      <c r="E66" s="53" t="s">
        <v>104</v>
      </c>
      <c r="F66" s="198" t="str">
        <f>B89</f>
        <v>con manejo xtra roya</v>
      </c>
      <c r="G66" s="233" t="s">
        <v>179</v>
      </c>
      <c r="H66" s="27" t="s">
        <v>35</v>
      </c>
      <c r="J66" s="130"/>
    </row>
    <row r="67" spans="1:10" x14ac:dyDescent="0.3">
      <c r="A67" s="142" t="s">
        <v>33</v>
      </c>
      <c r="B67" s="58">
        <f ca="1">inc.max.normal</f>
        <v>48.75</v>
      </c>
      <c r="C67" s="59">
        <f ca="1">inc.max.favorable</f>
        <v>57.595489714285712</v>
      </c>
      <c r="D67" s="60">
        <f ca="1">inc.max.desfavorable</f>
        <v>18.235714285714284</v>
      </c>
      <c r="E67" s="61">
        <f ca="1">inc.max.crisis</f>
        <v>71.920050428571429</v>
      </c>
      <c r="F67" s="199">
        <f>B92</f>
        <v>5</v>
      </c>
      <c r="G67" s="310">
        <f>roya.historico</f>
        <v>39</v>
      </c>
      <c r="H67" s="27" t="s">
        <v>68</v>
      </c>
      <c r="J67" s="27" t="s">
        <v>193</v>
      </c>
    </row>
    <row r="68" spans="1:10" x14ac:dyDescent="0.3">
      <c r="A68" s="142" t="s">
        <v>250</v>
      </c>
      <c r="B68" s="62">
        <f ca="1">'Mano de obra e insumos'!G46*salario.jornal+12*nb.peones*salario.peon</f>
        <v>1800</v>
      </c>
      <c r="C68" s="63">
        <f ca="1">'Mano de obra e insumos'!H46*salario.jornal+12*nb.peones*salario.peon</f>
        <v>1800</v>
      </c>
      <c r="D68" s="64">
        <f ca="1">'Mano de obra e insumos'!I46*salario.jornal+12*nb.peones*salario.peon</f>
        <v>2124.1714285714288</v>
      </c>
      <c r="E68" s="65">
        <f ca="1">'Mano de obra e insumos'!J46*salario.jornal+12*nb.peones*salario.peon</f>
        <v>1800</v>
      </c>
      <c r="F68" s="200">
        <f>'Mano de obra e insumos'!K46*salario.jornal+12*nb.peones*salario.peon</f>
        <v>2283</v>
      </c>
      <c r="G68" s="228">
        <f>'Mano de obra e insumos'!F46*salario.jornal+12*nb.peones*salario.peon</f>
        <v>1875</v>
      </c>
      <c r="H68" s="66"/>
    </row>
    <row r="69" spans="1:10" ht="19.5" thickBot="1" x14ac:dyDescent="0.35">
      <c r="A69" s="143" t="s">
        <v>132</v>
      </c>
      <c r="B69" s="67">
        <f t="shared" ref="B69:G69" ca="1" si="9">-ingresos.café*(B67-roya.historico)/100</f>
        <v>-585</v>
      </c>
      <c r="C69" s="68">
        <f t="shared" ca="1" si="9"/>
        <v>-1115.7293828571428</v>
      </c>
      <c r="D69" s="69">
        <f t="shared" ca="1" si="9"/>
        <v>1245.8571428571429</v>
      </c>
      <c r="E69" s="70">
        <f t="shared" ca="1" si="9"/>
        <v>-1975.2030257142856</v>
      </c>
      <c r="F69" s="201">
        <f t="shared" si="9"/>
        <v>2040</v>
      </c>
      <c r="G69" s="228">
        <f t="shared" si="9"/>
        <v>0</v>
      </c>
      <c r="H69" s="27" t="s">
        <v>69</v>
      </c>
    </row>
    <row r="70" spans="1:10" ht="20.25" thickTop="1" thickBot="1" x14ac:dyDescent="0.35">
      <c r="A70" s="159" t="s">
        <v>136</v>
      </c>
      <c r="B70" s="58">
        <f t="shared" ref="B70:G70" ca="1" si="10">rendimiento.esperado*(1-(B67-roya.historico)/100)</f>
        <v>27.074999999999999</v>
      </c>
      <c r="C70" s="59">
        <f t="shared" ca="1" si="10"/>
        <v>24.421353085714287</v>
      </c>
      <c r="D70" s="60">
        <f t="shared" ca="1" si="10"/>
        <v>36.229285714285716</v>
      </c>
      <c r="E70" s="61">
        <f t="shared" ca="1" si="10"/>
        <v>20.123984871428572</v>
      </c>
      <c r="F70" s="199">
        <f t="shared" si="10"/>
        <v>40.200000000000003</v>
      </c>
      <c r="G70" s="227">
        <f t="shared" si="10"/>
        <v>30</v>
      </c>
    </row>
    <row r="71" spans="1:10" ht="19.5" thickTop="1" x14ac:dyDescent="0.3">
      <c r="A71" s="75" t="s">
        <v>4</v>
      </c>
      <c r="B71" s="67">
        <f t="shared" ref="B71:G71" ca="1" si="11">margen+B69-B68+$G$39</f>
        <v>3446</v>
      </c>
      <c r="C71" s="68">
        <f t="shared" ca="1" si="11"/>
        <v>2915.2706171428572</v>
      </c>
      <c r="D71" s="69">
        <f t="shared" ca="1" si="11"/>
        <v>4952.6857142857143</v>
      </c>
      <c r="E71" s="70">
        <f t="shared" ca="1" si="11"/>
        <v>2055.7969742857144</v>
      </c>
      <c r="F71" s="201">
        <f>margen+F69-F68+$G$39-B91</f>
        <v>5387</v>
      </c>
      <c r="G71" s="228">
        <f t="shared" si="11"/>
        <v>3956</v>
      </c>
    </row>
    <row r="72" spans="1:10" x14ac:dyDescent="0.3">
      <c r="A72" s="76"/>
      <c r="B72" s="77" t="str">
        <f ca="1">IF($B$5=0,"",IF(B71&lt;0,"critico",IF(margen.a1.hist&lt;umbral,"insostenible","sostenible")))</f>
        <v>sostenible</v>
      </c>
      <c r="C72" s="77" t="str">
        <f ca="1">IF($B$5=0,"",IF(C71&lt;0,"critico",IF(margen.a1.fav&lt;umbral,"insostenible","sostenible")))</f>
        <v>sostenible</v>
      </c>
      <c r="D72" s="77" t="str">
        <f ca="1">IF($B$5=0,"",IF(D71&lt;0,"critico",IF(margen.a1.noFav&lt;umbral,"insostenible","sostenible")))</f>
        <v>sostenible</v>
      </c>
      <c r="E72" s="77" t="str">
        <f ca="1">IF($B$5=0,"",IF(E71&lt;0,"critico",IF(margen.a1.crisis&lt;umbral,"insostenible","sostenible")))</f>
        <v>sostenible</v>
      </c>
      <c r="F72" s="222" t="str">
        <f>IF($B$5=0,"",IF(F71&lt;0,"critico",IF(margen.a1.trat&lt;umbral,"insostenible","sostenible")))</f>
        <v>sostenible</v>
      </c>
      <c r="G72" s="229" t="str">
        <f>IF($B$5=0,"",IF(G71&lt;0,"critico",IF(margen.a1.ref&lt;umbral,"insostenible","sostenible")))</f>
        <v>sostenible</v>
      </c>
      <c r="H72" s="27" t="s">
        <v>72</v>
      </c>
    </row>
    <row r="73" spans="1:10" ht="21" x14ac:dyDescent="0.35">
      <c r="A73" s="131" t="s">
        <v>253</v>
      </c>
      <c r="B73" s="132"/>
      <c r="C73" s="132"/>
      <c r="D73" s="132"/>
      <c r="E73" s="132"/>
      <c r="F73" s="132"/>
      <c r="G73" s="227"/>
      <c r="H73" s="27" t="s">
        <v>60</v>
      </c>
    </row>
    <row r="74" spans="1:10" ht="18.75" customHeight="1" x14ac:dyDescent="0.3">
      <c r="A74" s="78" t="s">
        <v>107</v>
      </c>
      <c r="B74" s="79">
        <f ca="1">(B71+gastos.alim.familia)+B68</f>
        <v>6446</v>
      </c>
      <c r="C74" s="80">
        <f ca="1">(C71+gastos.alim.familia)+C68</f>
        <v>5915.2706171428572</v>
      </c>
      <c r="D74" s="81">
        <f ca="1">(D71+gastos.alim.familia)+D68</f>
        <v>8276.8571428571431</v>
      </c>
      <c r="E74" s="82">
        <f ca="1">(E71+gastos.alim.familia)+E68</f>
        <v>5055.7969742857149</v>
      </c>
      <c r="F74" s="223">
        <f>(F71+gastos.alim.familia)+F68</f>
        <v>8870</v>
      </c>
      <c r="G74" s="230">
        <f ca="1">(margen.a1.hist+gastos.alim.familia)+G68</f>
        <v>6797</v>
      </c>
      <c r="H74" s="27" t="s">
        <v>49</v>
      </c>
    </row>
    <row r="75" spans="1:10" x14ac:dyDescent="0.3">
      <c r="A75" s="83" t="s">
        <v>55</v>
      </c>
      <c r="B75" s="155">
        <f t="shared" ref="B75:G75" ca="1" si="12">B74*num.familias</f>
        <v>19338000</v>
      </c>
      <c r="C75" s="156">
        <f t="shared" ca="1" si="12"/>
        <v>17745811.851428572</v>
      </c>
      <c r="D75" s="157">
        <f t="shared" ca="1" si="12"/>
        <v>24830571.428571429</v>
      </c>
      <c r="E75" s="158">
        <f t="shared" ca="1" si="12"/>
        <v>15167390.922857145</v>
      </c>
      <c r="F75" s="224">
        <f t="shared" si="12"/>
        <v>26610000</v>
      </c>
      <c r="G75" s="231">
        <f t="shared" ca="1" si="12"/>
        <v>20391000</v>
      </c>
      <c r="H75" s="84"/>
    </row>
    <row r="76" spans="1:10" x14ac:dyDescent="0.3">
      <c r="A76" s="78" t="s">
        <v>108</v>
      </c>
      <c r="B76" s="79">
        <f ca="1">(B71+gastos.alim.familia)/tamano.familia</f>
        <v>929.2</v>
      </c>
      <c r="C76" s="80">
        <f ca="1">(C71+gastos.alim.familia)/tamano.familia</f>
        <v>823.05412342857142</v>
      </c>
      <c r="D76" s="81">
        <f ca="1">(D71+gastos.alim.familia)/tamano.familia</f>
        <v>1230.537142857143</v>
      </c>
      <c r="E76" s="82">
        <f ca="1">(E71+gastos.alim.familia)/tamano.familia</f>
        <v>651.15939485714284</v>
      </c>
      <c r="F76" s="223">
        <f>(F71+gastos.alim.familia)/tamano.familia</f>
        <v>1317.4</v>
      </c>
      <c r="G76" s="230">
        <f>(margen.a1.ref+gastos.alim.familia)/tamano.familia</f>
        <v>1031.2</v>
      </c>
      <c r="H76" s="66"/>
    </row>
    <row r="77" spans="1:10" x14ac:dyDescent="0.3">
      <c r="A77" s="78" t="s">
        <v>109</v>
      </c>
      <c r="B77" s="54">
        <f t="shared" ref="B77:G77" ca="1" si="13">B76/(canasta.basica*12)</f>
        <v>1.0324444444444445</v>
      </c>
      <c r="C77" s="55">
        <f t="shared" ca="1" si="13"/>
        <v>0.91450458158730152</v>
      </c>
      <c r="D77" s="56">
        <f t="shared" ca="1" si="13"/>
        <v>1.3672634920634921</v>
      </c>
      <c r="E77" s="57">
        <f t="shared" ca="1" si="13"/>
        <v>0.72351043873015874</v>
      </c>
      <c r="F77" s="225">
        <f t="shared" si="13"/>
        <v>1.4637777777777778</v>
      </c>
      <c r="G77" s="232">
        <f t="shared" si="13"/>
        <v>1.1457777777777778</v>
      </c>
      <c r="H77" s="27" t="s">
        <v>62</v>
      </c>
    </row>
    <row r="78" spans="1:10" x14ac:dyDescent="0.3">
      <c r="A78" s="78" t="s">
        <v>137</v>
      </c>
      <c r="B78" s="54">
        <f ca="1">IF(B76&lt;0,"inf",('Mano de obra e insumos'!$B$4*12*salario.jornal)/B76)</f>
        <v>1.6142918639690056</v>
      </c>
      <c r="C78" s="55">
        <f ca="1">IF(C76&lt;0,"inf",('Mano de obra e insumos'!$B$4*12*salario.jornal)/C76)</f>
        <v>1.8224803901734867</v>
      </c>
      <c r="D78" s="56">
        <f ca="1">IF(D76&lt;0,"inf",('Mano de obra e insumos'!$B$4*12*salario.jornal)/D76)</f>
        <v>1.2189798647745003</v>
      </c>
      <c r="E78" s="57">
        <f ca="1">IF(E76&lt;0,"inf",('Mano de obra e insumos'!$B$4*12*salario.jornal)/E76)</f>
        <v>2.3035834418531018</v>
      </c>
      <c r="F78" s="225">
        <f>('Mano de obra e insumos'!$B$4*12*salario.jornal)/F76</f>
        <v>1.1386063458327007</v>
      </c>
      <c r="G78" s="232">
        <f>IF(G76&lt;0,"inf",('Mano de obra e insumos'!$B$4*12*salario.jornal)/G76)</f>
        <v>1.4546159813809154</v>
      </c>
    </row>
    <row r="79" spans="1:10" x14ac:dyDescent="0.3">
      <c r="A79" s="78" t="s">
        <v>138</v>
      </c>
      <c r="B79" s="54">
        <f ca="1">IF(B76&lt;0,"inf",(12*salario.minimo)/B76)</f>
        <v>2.5828669823504087</v>
      </c>
      <c r="C79" s="55">
        <f ca="1">IF(C76&lt;0,"inf",(12*salario.minimo)/C76)</f>
        <v>2.9159686242775789</v>
      </c>
      <c r="D79" s="56">
        <f ca="1">IF(D76&lt;0,"inf",(12*salario.minimo)/D76)</f>
        <v>1.9503677836392004</v>
      </c>
      <c r="E79" s="57">
        <f ca="1">IF(E76&lt;0,"inf",(12*salario.minimo)/E76)</f>
        <v>3.6857335069649628</v>
      </c>
      <c r="F79" s="225">
        <f>(12*salario.minimo)/F76</f>
        <v>1.8217701533323212</v>
      </c>
      <c r="G79" s="232">
        <f>IF(G76&lt;0,"inf",(12*salario.minimo)/G76)</f>
        <v>2.3273855702094646</v>
      </c>
      <c r="H79" s="27" t="s">
        <v>90</v>
      </c>
    </row>
    <row r="80" spans="1:10" x14ac:dyDescent="0.3">
      <c r="A80" s="85" t="s">
        <v>61</v>
      </c>
      <c r="B80" s="376">
        <f>precio.cafe</f>
        <v>100</v>
      </c>
      <c r="C80" s="377"/>
      <c r="D80" s="377"/>
      <c r="E80" s="377"/>
      <c r="F80" s="377"/>
      <c r="G80" s="227"/>
      <c r="H80" s="86"/>
    </row>
    <row r="81" spans="1:8" x14ac:dyDescent="0.3">
      <c r="A81" s="78" t="s">
        <v>255</v>
      </c>
      <c r="B81" s="67">
        <f ca="1">($B$17*area.prod+B68+costos.prod.otros+costos.insumos)*(1+costos.indirectos/100)</f>
        <v>3207</v>
      </c>
      <c r="C81" s="68">
        <f ca="1">($B$17*area.prod+C68+costos.prod.otros+costos.insumos)*(1+costos.indirectos/100)</f>
        <v>3207</v>
      </c>
      <c r="D81" s="69">
        <f ca="1">($B$17*area.prod+D68+costos.prod.otros+costos.insumos)*(1+costos.indirectos/100)</f>
        <v>3531.1714285714288</v>
      </c>
      <c r="E81" s="70">
        <f ca="1">($B$17*area.prod+E68+costos.prod.otros+costos.insumos)*(1+costos.indirectos/100)</f>
        <v>3207</v>
      </c>
      <c r="F81" s="201">
        <f>($B$17*area.prod+F68+costos.prod.otros+costos.insumos+B91)*(1+costos.indirectos/100)</f>
        <v>3891</v>
      </c>
      <c r="G81" s="227">
        <f>($B$17*area.prod+salario.jornal*nb.jornales+nb.peones*salario.peon*12+costos.prod.otros+costos.insumos)*(1+costos.indirectos/100)</f>
        <v>3282</v>
      </c>
      <c r="H81" s="86"/>
    </row>
    <row r="82" spans="1:8" x14ac:dyDescent="0.3">
      <c r="A82" s="78" t="s">
        <v>119</v>
      </c>
      <c r="B82" s="67">
        <f t="shared" ref="B82:G82" ca="1" si="14">B81/(B70*area.prod)</f>
        <v>59.224376731301938</v>
      </c>
      <c r="C82" s="68">
        <f t="shared" ca="1" si="14"/>
        <v>65.659752527717075</v>
      </c>
      <c r="D82" s="69">
        <f t="shared" ca="1" si="14"/>
        <v>48.733660613946888</v>
      </c>
      <c r="E82" s="70">
        <f t="shared" ca="1" si="14"/>
        <v>79.681037838415449</v>
      </c>
      <c r="F82" s="201">
        <f t="shared" si="14"/>
        <v>48.395522388059696</v>
      </c>
      <c r="G82" s="228">
        <f t="shared" si="14"/>
        <v>54.7</v>
      </c>
      <c r="H82" s="86" t="s">
        <v>70</v>
      </c>
    </row>
    <row r="83" spans="1:8" x14ac:dyDescent="0.3">
      <c r="A83" s="87" t="s">
        <v>120</v>
      </c>
      <c r="B83" s="67">
        <f t="shared" ref="B83:G83" ca="1" si="15">(B81+gastos.alim.familia+umbral)/(B70*area.prod)</f>
        <v>123.85964912280703</v>
      </c>
      <c r="C83" s="68">
        <f t="shared" ca="1" si="15"/>
        <v>137.31835366492001</v>
      </c>
      <c r="D83" s="69">
        <f t="shared" ca="1" si="15"/>
        <v>97.03712466236864</v>
      </c>
      <c r="E83" s="70">
        <f t="shared" ca="1" si="15"/>
        <v>166.64194598760599</v>
      </c>
      <c r="F83" s="201">
        <f t="shared" si="15"/>
        <v>91.927860696517413</v>
      </c>
      <c r="G83" s="228">
        <f t="shared" si="15"/>
        <v>113.03333333333333</v>
      </c>
      <c r="H83" s="86"/>
    </row>
    <row r="84" spans="1:8" x14ac:dyDescent="0.3">
      <c r="A84" s="87" t="s">
        <v>121</v>
      </c>
      <c r="B84" s="371">
        <f>'Sistema de produccion'!K11</f>
        <v>5000</v>
      </c>
      <c r="C84" s="372"/>
      <c r="D84" s="372"/>
      <c r="E84" s="372"/>
      <c r="F84" s="372"/>
      <c r="G84" s="227"/>
      <c r="H84" s="86"/>
    </row>
    <row r="85" spans="1:8" x14ac:dyDescent="0.3">
      <c r="A85" s="88" t="s">
        <v>133</v>
      </c>
      <c r="B85" s="67">
        <f t="shared" ref="B85:G85" ca="1" si="16">precio.tierra*0.04/(rendimiento.esperado*(1-(B67-roya.historico)/200))</f>
        <v>7.0083223828296095</v>
      </c>
      <c r="C85" s="68">
        <f t="shared" ca="1" si="16"/>
        <v>7.3500561327461886</v>
      </c>
      <c r="D85" s="69">
        <f t="shared" ca="1" si="16"/>
        <v>6.0396242490913608</v>
      </c>
      <c r="E85" s="70">
        <f t="shared" ca="1" si="16"/>
        <v>7.9802114900885703</v>
      </c>
      <c r="F85" s="201">
        <f t="shared" si="16"/>
        <v>5.6980056980056988</v>
      </c>
      <c r="G85" s="228">
        <f t="shared" si="16"/>
        <v>6.666666666666667</v>
      </c>
      <c r="H85" s="86" t="s">
        <v>36</v>
      </c>
    </row>
    <row r="86" spans="1:8" ht="19.5" thickBot="1" x14ac:dyDescent="0.35">
      <c r="A86" s="89" t="s">
        <v>134</v>
      </c>
      <c r="B86" s="71">
        <f t="shared" ref="B86:G86" ca="1" si="17">costo.oport.tierra.norm+B82</f>
        <v>-1501.7756232686982</v>
      </c>
      <c r="C86" s="72">
        <f t="shared" ca="1" si="17"/>
        <v>-1495.340247472283</v>
      </c>
      <c r="D86" s="73">
        <f t="shared" ca="1" si="17"/>
        <v>-1512.266339386053</v>
      </c>
      <c r="E86" s="74">
        <f t="shared" ca="1" si="17"/>
        <v>-1481.3189621615845</v>
      </c>
      <c r="F86" s="226">
        <f t="shared" ca="1" si="17"/>
        <v>-1512.6044776119404</v>
      </c>
      <c r="G86" s="228">
        <f t="shared" ca="1" si="17"/>
        <v>-1506.3</v>
      </c>
      <c r="H86" s="86" t="s">
        <v>59</v>
      </c>
    </row>
    <row r="87" spans="1:8" ht="19.5" thickTop="1" x14ac:dyDescent="0.3">
      <c r="H87" s="90" t="s">
        <v>71</v>
      </c>
    </row>
    <row r="88" spans="1:8" ht="19.5" thickBot="1" x14ac:dyDescent="0.35"/>
    <row r="89" spans="1:8" ht="36.75" thickTop="1" x14ac:dyDescent="0.3">
      <c r="A89" s="144" t="s">
        <v>105</v>
      </c>
      <c r="B89" s="125" t="s">
        <v>106</v>
      </c>
      <c r="C89" s="123"/>
      <c r="D89" s="123"/>
      <c r="E89" s="123"/>
      <c r="F89" s="123"/>
    </row>
    <row r="90" spans="1:8" ht="28.5" x14ac:dyDescent="0.3">
      <c r="A90" s="145" t="s">
        <v>139</v>
      </c>
      <c r="B90" s="126">
        <f>MAX(0,ROUND((VLOOKUP("cosecha",Roya!$B$2:$L$13,11,0)-mes)/1.5,0))</f>
        <v>3</v>
      </c>
      <c r="C90" s="27" t="s">
        <v>279</v>
      </c>
      <c r="D90" s="123"/>
      <c r="E90" s="123"/>
      <c r="F90" s="123"/>
    </row>
    <row r="91" spans="1:8" ht="28.5" x14ac:dyDescent="0.3">
      <c r="A91" s="145" t="s">
        <v>140</v>
      </c>
      <c r="B91" s="128">
        <f>B90*costo.1tratamientoRoya*area.prod*VLOOKUP($B$21,tabla.factor.costo.insumos,2,FALSE)</f>
        <v>201</v>
      </c>
      <c r="C91" s="27" t="s">
        <v>278</v>
      </c>
      <c r="D91" s="123"/>
      <c r="E91" s="123"/>
      <c r="F91" s="123"/>
    </row>
    <row r="92" spans="1:8" ht="19.5" thickBot="1" x14ac:dyDescent="0.35">
      <c r="A92" s="160" t="s">
        <v>33</v>
      </c>
      <c r="B92" s="161">
        <f>B35</f>
        <v>5</v>
      </c>
      <c r="D92" s="124"/>
      <c r="E92" s="124"/>
      <c r="F92" s="124"/>
    </row>
    <row r="93" spans="1:8" ht="19.5" thickTop="1" x14ac:dyDescent="0.3"/>
  </sheetData>
  <mergeCells count="39">
    <mergeCell ref="A1:D1"/>
    <mergeCell ref="B3:D3"/>
    <mergeCell ref="B9:D9"/>
    <mergeCell ref="B27:D27"/>
    <mergeCell ref="B24:D24"/>
    <mergeCell ref="B10:D10"/>
    <mergeCell ref="B14:D14"/>
    <mergeCell ref="B2:D2"/>
    <mergeCell ref="B5:D5"/>
    <mergeCell ref="B6:D6"/>
    <mergeCell ref="B7:D7"/>
    <mergeCell ref="A4:D4"/>
    <mergeCell ref="B21:D21"/>
    <mergeCell ref="B8:D8"/>
    <mergeCell ref="B12:D12"/>
    <mergeCell ref="B11:D11"/>
    <mergeCell ref="B30:D30"/>
    <mergeCell ref="B32:D32"/>
    <mergeCell ref="B15:D15"/>
    <mergeCell ref="B18:D18"/>
    <mergeCell ref="B20:D20"/>
    <mergeCell ref="B22:D22"/>
    <mergeCell ref="A19:D19"/>
    <mergeCell ref="B84:F84"/>
    <mergeCell ref="B25:D25"/>
    <mergeCell ref="B80:F80"/>
    <mergeCell ref="B13:D13"/>
    <mergeCell ref="B16:D16"/>
    <mergeCell ref="B17:D17"/>
    <mergeCell ref="B35:D35"/>
    <mergeCell ref="B29:D29"/>
    <mergeCell ref="B28:D28"/>
    <mergeCell ref="B26:D26"/>
    <mergeCell ref="B31:D31"/>
    <mergeCell ref="B33:D33"/>
    <mergeCell ref="B55:F55"/>
    <mergeCell ref="B51:F51"/>
    <mergeCell ref="B34:D34"/>
    <mergeCell ref="B23:D23"/>
  </mergeCells>
  <conditionalFormatting sqref="A33:B33 A19 A34">
    <cfRule type="cellIs" dxfId="158" priority="330" operator="equal">
      <formula>"regular"</formula>
    </cfRule>
  </conditionalFormatting>
  <conditionalFormatting sqref="A33:B33 A19 A34">
    <cfRule type="cellIs" dxfId="157" priority="309" operator="equal">
      <formula>"deficiente"</formula>
    </cfRule>
    <cfRule type="cellIs" dxfId="156" priority="310" operator="equal">
      <formula>"optimo"</formula>
    </cfRule>
  </conditionalFormatting>
  <conditionalFormatting sqref="A43">
    <cfRule type="cellIs" dxfId="155" priority="337" operator="equal">
      <formula>"Insuficiente"</formula>
    </cfRule>
    <cfRule type="cellIs" dxfId="154" priority="338" operator="equal">
      <formula>"Suficiente"</formula>
    </cfRule>
  </conditionalFormatting>
  <conditionalFormatting sqref="A43">
    <cfRule type="cellIs" dxfId="153" priority="336" operator="equal">
      <formula>"MEdia"</formula>
    </cfRule>
  </conditionalFormatting>
  <conditionalFormatting sqref="B43">
    <cfRule type="cellIs" dxfId="152" priority="296" operator="equal">
      <formula>"critico"</formula>
    </cfRule>
    <cfRule type="cellIs" dxfId="151" priority="297" operator="equal">
      <formula>"sostenible"</formula>
    </cfRule>
  </conditionalFormatting>
  <conditionalFormatting sqref="B43">
    <cfRule type="cellIs" dxfId="150" priority="295" operator="equal">
      <formula>"insostenible"</formula>
    </cfRule>
  </conditionalFormatting>
  <conditionalFormatting sqref="C43:G43">
    <cfRule type="cellIs" dxfId="149" priority="86" operator="equal">
      <formula>"insostenible"</formula>
    </cfRule>
  </conditionalFormatting>
  <conditionalFormatting sqref="C72:G72">
    <cfRule type="cellIs" dxfId="148" priority="1" operator="equal">
      <formula>"insostenible"</formula>
    </cfRule>
  </conditionalFormatting>
  <conditionalFormatting sqref="C43:G43">
    <cfRule type="cellIs" dxfId="147" priority="87" operator="equal">
      <formula>"critico"</formula>
    </cfRule>
    <cfRule type="cellIs" dxfId="146" priority="88" operator="equal">
      <formula>"sostenible"</formula>
    </cfRule>
  </conditionalFormatting>
  <conditionalFormatting sqref="C72:G72">
    <cfRule type="cellIs" dxfId="145" priority="2" operator="equal">
      <formula>"critico"</formula>
    </cfRule>
    <cfRule type="cellIs" dxfId="144" priority="3" operator="equal">
      <formula>"sostenible"</formula>
    </cfRule>
  </conditionalFormatting>
  <conditionalFormatting sqref="A72">
    <cfRule type="cellIs" dxfId="143" priority="38" operator="equal">
      <formula>"Insuficiente"</formula>
    </cfRule>
    <cfRule type="cellIs" dxfId="142" priority="39" operator="equal">
      <formula>"Suficiente"</formula>
    </cfRule>
  </conditionalFormatting>
  <conditionalFormatting sqref="A72">
    <cfRule type="cellIs" dxfId="141" priority="37" operator="equal">
      <formula>"MEdia"</formula>
    </cfRule>
  </conditionalFormatting>
  <conditionalFormatting sqref="B72">
    <cfRule type="cellIs" dxfId="140" priority="35" operator="equal">
      <formula>"critico"</formula>
    </cfRule>
    <cfRule type="cellIs" dxfId="139" priority="36" operator="equal">
      <formula>"sostenible"</formula>
    </cfRule>
  </conditionalFormatting>
  <conditionalFormatting sqref="B72">
    <cfRule type="cellIs" dxfId="138" priority="34" operator="equal">
      <formula>"insostenible"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80" zoomScaleNormal="80" workbookViewId="0">
      <selection activeCell="S8" sqref="S8"/>
    </sheetView>
  </sheetViews>
  <sheetFormatPr baseColWidth="10" defaultRowHeight="15" x14ac:dyDescent="0.25"/>
  <cols>
    <col min="1" max="1" width="23.5703125" customWidth="1"/>
    <col min="2" max="2" width="24.28515625" customWidth="1"/>
    <col min="3" max="3" width="29.7109375" customWidth="1"/>
    <col min="4" max="4" width="7.140625" style="211" hidden="1" customWidth="1"/>
    <col min="5" max="5" width="0.7109375" style="211" customWidth="1"/>
    <col min="6" max="6" width="14.85546875" style="9" customWidth="1"/>
    <col min="7" max="7" width="6.85546875" style="9" customWidth="1"/>
    <col min="8" max="8" width="13.5703125" style="9" customWidth="1"/>
    <col min="9" max="9" width="7.42578125" style="9" customWidth="1"/>
    <col min="10" max="10" width="15" style="9" customWidth="1"/>
    <col min="11" max="11" width="8.5703125" style="9" customWidth="1"/>
    <col min="12" max="12" width="0.7109375" style="217" customWidth="1"/>
    <col min="13" max="13" width="12.7109375" style="9" customWidth="1"/>
    <col min="14" max="14" width="7.42578125" style="9" customWidth="1"/>
    <col min="15" max="15" width="13.7109375" style="9" customWidth="1"/>
    <col min="16" max="16" width="7.42578125" style="9" customWidth="1"/>
    <col min="17" max="17" width="13" style="9" customWidth="1"/>
    <col min="18" max="18" width="7.5703125" style="9" customWidth="1"/>
    <col min="19" max="19" width="27.85546875" style="234" customWidth="1"/>
    <col min="20" max="41" width="11.42578125" style="234"/>
    <col min="42" max="51" width="11.42578125" style="185"/>
  </cols>
  <sheetData>
    <row r="1" spans="1:51" ht="31.5" customHeight="1" thickTop="1" thickBot="1" x14ac:dyDescent="0.4">
      <c r="A1" s="235" t="str">
        <f>'Sistema de produccion'!A3</f>
        <v>USULUTAN</v>
      </c>
      <c r="B1" s="529" t="str">
        <f>'Sistema de produccion'!C3</f>
        <v>Familiar</v>
      </c>
      <c r="C1" s="530"/>
      <c r="E1" s="217"/>
      <c r="F1" s="526" t="s">
        <v>254</v>
      </c>
      <c r="G1" s="527"/>
      <c r="H1" s="527"/>
      <c r="I1" s="527"/>
      <c r="J1" s="527"/>
      <c r="K1" s="528"/>
      <c r="M1" s="526" t="s">
        <v>184</v>
      </c>
      <c r="N1" s="527"/>
      <c r="O1" s="527"/>
      <c r="P1" s="527"/>
      <c r="Q1" s="527"/>
      <c r="R1" s="528"/>
    </row>
    <row r="2" spans="1:51" ht="19.5" thickTop="1" x14ac:dyDescent="0.25">
      <c r="A2" s="531" t="s">
        <v>252</v>
      </c>
      <c r="B2" s="532"/>
      <c r="C2" s="533"/>
      <c r="E2" s="217"/>
      <c r="F2" s="538" t="s">
        <v>183</v>
      </c>
      <c r="G2" s="539"/>
      <c r="H2" s="540" t="s">
        <v>177</v>
      </c>
      <c r="I2" s="539"/>
      <c r="J2" s="541" t="s">
        <v>180</v>
      </c>
      <c r="K2" s="542"/>
      <c r="M2" s="547" t="s">
        <v>183</v>
      </c>
      <c r="N2" s="548"/>
      <c r="O2" s="548" t="s">
        <v>177</v>
      </c>
      <c r="P2" s="548"/>
      <c r="Q2" s="549" t="s">
        <v>180</v>
      </c>
      <c r="R2" s="550"/>
    </row>
    <row r="3" spans="1:51" ht="35.25" customHeight="1" thickBot="1" x14ac:dyDescent="0.3">
      <c r="A3" s="203" t="s">
        <v>6</v>
      </c>
      <c r="B3" s="189" t="s">
        <v>160</v>
      </c>
      <c r="C3" s="204" t="s">
        <v>178</v>
      </c>
      <c r="E3" s="217"/>
      <c r="F3" s="543">
        <f>roya.historico</f>
        <v>39</v>
      </c>
      <c r="G3" s="544"/>
      <c r="H3" s="545">
        <f ca="1">IF($C$4="normales",Economico!B38,IF($C$4="favorables a roya",Economico!C38,IF($C$4="desfavorables a roya",Economico!D38,IF($C$4="muy favorables a roya",Economico!E38))))</f>
        <v>48.75</v>
      </c>
      <c r="I3" s="544"/>
      <c r="J3" s="545">
        <f>Economico!F38</f>
        <v>5</v>
      </c>
      <c r="K3" s="546"/>
      <c r="M3" s="330">
        <f ca="1">Economico!G74</f>
        <v>6797</v>
      </c>
      <c r="N3" s="331" t="str">
        <f>+ud</f>
        <v>$</v>
      </c>
      <c r="O3" s="332">
        <f ca="1">IF($C$4="normales",Economico!B74,IF($C$4="favorables a roya",Economico!C74,IF($C$4="desfavorables a roya",Economico!D74,IF($C$4="muy favorables a roya",Economico!E74))))</f>
        <v>6446</v>
      </c>
      <c r="P3" s="331" t="str">
        <f>+ud</f>
        <v>$</v>
      </c>
      <c r="Q3" s="333">
        <f>Economico!F74</f>
        <v>8870</v>
      </c>
      <c r="R3" s="334" t="str">
        <f>+ud</f>
        <v>$</v>
      </c>
    </row>
    <row r="4" spans="1:51" ht="38.25" customHeight="1" thickTop="1" thickBot="1" x14ac:dyDescent="0.4">
      <c r="A4" s="315" t="str">
        <f>'Pronostico Año en curso'!A4</f>
        <v>junio</v>
      </c>
      <c r="B4" s="316">
        <f>'Pronostico Año en curso'!B4</f>
        <v>5</v>
      </c>
      <c r="C4" s="317" t="str">
        <f>'Pronostico Año en curso'!C4</f>
        <v>normales</v>
      </c>
      <c r="D4" s="287" t="str">
        <f>VLOOKUP(mes,periodo,2,FALSE)</f>
        <v>despues_cosecha</v>
      </c>
      <c r="E4" s="217"/>
      <c r="F4" s="526" t="s">
        <v>181</v>
      </c>
      <c r="G4" s="527"/>
      <c r="H4" s="527"/>
      <c r="I4" s="527"/>
      <c r="J4" s="527"/>
      <c r="K4" s="528"/>
      <c r="M4" s="534" t="s">
        <v>185</v>
      </c>
      <c r="N4" s="535"/>
      <c r="O4" s="535"/>
      <c r="P4" s="536"/>
      <c r="Q4" s="536"/>
      <c r="R4" s="283"/>
    </row>
    <row r="5" spans="1:51" s="9" customFormat="1" ht="15.75" thickTop="1" x14ac:dyDescent="0.25">
      <c r="A5" s="217"/>
      <c r="B5" s="217"/>
      <c r="C5" s="218"/>
      <c r="D5" s="211"/>
      <c r="E5" s="217"/>
      <c r="F5" s="514" t="s">
        <v>183</v>
      </c>
      <c r="G5" s="515"/>
      <c r="H5" s="554" t="s">
        <v>177</v>
      </c>
      <c r="I5" s="551"/>
      <c r="J5" s="541" t="s">
        <v>180</v>
      </c>
      <c r="K5" s="542"/>
      <c r="L5" s="217"/>
      <c r="M5" s="514" t="s">
        <v>183</v>
      </c>
      <c r="N5" s="551"/>
      <c r="O5" s="515" t="s">
        <v>177</v>
      </c>
      <c r="P5" s="551"/>
      <c r="Q5" s="541" t="s">
        <v>180</v>
      </c>
      <c r="R5" s="542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1"/>
      <c r="AQ5" s="211"/>
      <c r="AR5" s="211"/>
      <c r="AS5" s="211"/>
      <c r="AT5" s="211"/>
      <c r="AU5" s="211"/>
      <c r="AV5" s="211"/>
      <c r="AW5" s="211"/>
      <c r="AX5" s="211"/>
      <c r="AY5" s="211"/>
    </row>
    <row r="6" spans="1:51" s="9" customFormat="1" ht="30.75" customHeight="1" x14ac:dyDescent="0.25">
      <c r="A6" s="217"/>
      <c r="B6" s="217"/>
      <c r="C6" s="219"/>
      <c r="D6" s="211"/>
      <c r="E6" s="217"/>
      <c r="F6" s="335">
        <f>Economico!G71</f>
        <v>3956</v>
      </c>
      <c r="G6" s="336" t="str">
        <f>+ud</f>
        <v>$</v>
      </c>
      <c r="H6" s="337">
        <f ca="1">IF($C$4="normales",Economico!B71,IF($C$4="favorables a roya",Economico!C71,IF($C$4="desfavorables a roya",Economico!D71,IF($C$4="muy favorables a roya",Economico!E71))))</f>
        <v>3446</v>
      </c>
      <c r="I6" s="336" t="str">
        <f>+ud</f>
        <v>$</v>
      </c>
      <c r="J6" s="337">
        <f>Economico!F71</f>
        <v>5387</v>
      </c>
      <c r="K6" s="338" t="str">
        <f>+ud</f>
        <v>$</v>
      </c>
      <c r="L6" s="217"/>
      <c r="M6" s="575">
        <f ca="1">Economico!G75/1000000</f>
        <v>20.390999999999998</v>
      </c>
      <c r="N6" s="577" t="str">
        <f>+ud</f>
        <v>$</v>
      </c>
      <c r="O6" s="579">
        <f ca="1">IF($C$4="normales",Economico!B75/1000000,IF($C$4="favorables a roya",Economico!C75/1000000,IF($C$4="desfavorables a roya",Economico!D75/1000000,IF($C$4="muy favorables a roya",Economico!E75/1000000))))</f>
        <v>19.338000000000001</v>
      </c>
      <c r="P6" s="581" t="str">
        <f>+ud</f>
        <v>$</v>
      </c>
      <c r="Q6" s="563">
        <f>Economico!F75/1000000</f>
        <v>26.61</v>
      </c>
      <c r="R6" s="565" t="str">
        <f>+ud</f>
        <v>$</v>
      </c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1"/>
      <c r="AQ6" s="211"/>
      <c r="AR6" s="211"/>
      <c r="AS6" s="211"/>
      <c r="AT6" s="211"/>
      <c r="AU6" s="211"/>
      <c r="AV6" s="211"/>
      <c r="AW6" s="211"/>
      <c r="AX6" s="211"/>
      <c r="AY6" s="211"/>
    </row>
    <row r="7" spans="1:51" s="9" customFormat="1" ht="12.75" customHeight="1" thickBot="1" x14ac:dyDescent="0.3">
      <c r="A7" s="217"/>
      <c r="B7" s="217"/>
      <c r="C7" s="219"/>
      <c r="D7" s="211"/>
      <c r="E7" s="217"/>
      <c r="F7" s="570" t="str">
        <f>Economico!G72</f>
        <v>sostenible</v>
      </c>
      <c r="G7" s="571"/>
      <c r="H7" s="572" t="str">
        <f ca="1">IF(C4="normales",Economico!B72,IF(C4="favorables a roya",Economico!C72,IF(C4="desfavorables a roya",Economico!D72,IF(C4="muy favorables a roya",Economico!E72))))</f>
        <v>sostenible</v>
      </c>
      <c r="I7" s="571"/>
      <c r="J7" s="567" t="str">
        <f>Economico!F72</f>
        <v>sostenible</v>
      </c>
      <c r="K7" s="568"/>
      <c r="L7" s="217"/>
      <c r="M7" s="576"/>
      <c r="N7" s="578"/>
      <c r="O7" s="580"/>
      <c r="P7" s="582"/>
      <c r="Q7" s="564"/>
      <c r="R7" s="566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1"/>
      <c r="AQ7" s="211"/>
      <c r="AR7" s="211"/>
      <c r="AS7" s="211"/>
      <c r="AT7" s="211"/>
      <c r="AU7" s="211"/>
      <c r="AV7" s="211"/>
      <c r="AW7" s="211"/>
      <c r="AX7" s="211"/>
      <c r="AY7" s="211"/>
    </row>
    <row r="8" spans="1:51" s="9" customFormat="1" ht="36.75" customHeight="1" thickTop="1" x14ac:dyDescent="0.35">
      <c r="A8" s="217"/>
      <c r="B8" s="217"/>
      <c r="C8" s="219"/>
      <c r="D8" s="281" t="s">
        <v>238</v>
      </c>
      <c r="E8" s="217"/>
      <c r="F8" s="516" t="s">
        <v>195</v>
      </c>
      <c r="G8" s="517"/>
      <c r="H8" s="517"/>
      <c r="I8" s="518"/>
      <c r="J8" s="537"/>
      <c r="K8" s="282"/>
      <c r="L8" s="217"/>
      <c r="M8" s="526" t="s">
        <v>186</v>
      </c>
      <c r="N8" s="527"/>
      <c r="O8" s="527"/>
      <c r="P8" s="527"/>
      <c r="Q8" s="527"/>
      <c r="R8" s="528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1"/>
      <c r="AQ8" s="211"/>
      <c r="AR8" s="211"/>
      <c r="AS8" s="211"/>
      <c r="AT8" s="211"/>
      <c r="AU8" s="211"/>
      <c r="AV8" s="211"/>
      <c r="AW8" s="211"/>
      <c r="AX8" s="211"/>
      <c r="AY8" s="211"/>
    </row>
    <row r="9" spans="1:51" s="9" customFormat="1" ht="19.5" customHeight="1" x14ac:dyDescent="0.25">
      <c r="A9" s="217"/>
      <c r="B9" s="217"/>
      <c r="C9" s="219"/>
      <c r="D9" s="211"/>
      <c r="E9" s="217"/>
      <c r="F9" s="514" t="s">
        <v>183</v>
      </c>
      <c r="G9" s="551"/>
      <c r="H9" s="515" t="s">
        <v>177</v>
      </c>
      <c r="I9" s="551"/>
      <c r="J9" s="541" t="s">
        <v>180</v>
      </c>
      <c r="K9" s="542"/>
      <c r="L9" s="217"/>
      <c r="M9" s="583" t="s">
        <v>183</v>
      </c>
      <c r="N9" s="569"/>
      <c r="O9" s="569" t="s">
        <v>177</v>
      </c>
      <c r="P9" s="569"/>
      <c r="Q9" s="573" t="s">
        <v>180</v>
      </c>
      <c r="R9" s="574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1"/>
      <c r="AQ9" s="211"/>
      <c r="AR9" s="211"/>
      <c r="AS9" s="211"/>
      <c r="AT9" s="211"/>
      <c r="AU9" s="211"/>
      <c r="AV9" s="211"/>
      <c r="AW9" s="211"/>
      <c r="AX9" s="211"/>
      <c r="AY9" s="211"/>
    </row>
    <row r="10" spans="1:51" s="9" customFormat="1" ht="32.25" customHeight="1" thickBot="1" x14ac:dyDescent="0.3">
      <c r="A10" s="217"/>
      <c r="B10" s="217"/>
      <c r="C10" s="219"/>
      <c r="D10" s="211"/>
      <c r="E10" s="217"/>
      <c r="F10" s="560">
        <f>Economico!G77</f>
        <v>1.1457777777777778</v>
      </c>
      <c r="G10" s="561"/>
      <c r="H10" s="562">
        <f ca="1">IF($C$4="normales",Economico!B77,IF($C$4="favorables a roya",Economico!C77,IF($C$4="desfavorables a roya",Economico!D77,IF($C$4="muy favorables a roya",Economico!E77))))</f>
        <v>1.0324444444444445</v>
      </c>
      <c r="I10" s="561"/>
      <c r="J10" s="524">
        <f>Economico!F77</f>
        <v>1.4637777777777778</v>
      </c>
      <c r="K10" s="525"/>
      <c r="L10" s="217"/>
      <c r="M10" s="519">
        <f>Economico!G78</f>
        <v>1.4546159813809154</v>
      </c>
      <c r="N10" s="520"/>
      <c r="O10" s="520">
        <f ca="1">IF($C$4="normales",Economico!B78,IF($C$4="favorables a roya",Economico!C78,IF($C$4="desfavorables a roya",Economico!D78,IF($C$4="muy favorables a roya",Economico!E78))))</f>
        <v>1.6142918639690056</v>
      </c>
      <c r="P10" s="520"/>
      <c r="Q10" s="520">
        <f>Economico!F78</f>
        <v>1.1386063458327007</v>
      </c>
      <c r="R10" s="521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</row>
    <row r="11" spans="1:51" s="9" customFormat="1" ht="40.5" customHeight="1" thickTop="1" x14ac:dyDescent="0.35">
      <c r="A11" s="217"/>
      <c r="B11" s="217"/>
      <c r="C11" s="219"/>
      <c r="D11" s="211"/>
      <c r="E11" s="217"/>
      <c r="F11" s="526" t="s">
        <v>188</v>
      </c>
      <c r="G11" s="527"/>
      <c r="H11" s="527"/>
      <c r="I11" s="527"/>
      <c r="J11" s="527"/>
      <c r="K11" s="528"/>
      <c r="L11" s="217"/>
      <c r="M11" s="526" t="s">
        <v>187</v>
      </c>
      <c r="N11" s="527"/>
      <c r="O11" s="527"/>
      <c r="P11" s="527"/>
      <c r="Q11" s="527"/>
      <c r="R11" s="528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</row>
    <row r="12" spans="1:51" s="9" customFormat="1" x14ac:dyDescent="0.25">
      <c r="A12" s="217"/>
      <c r="B12" s="217"/>
      <c r="C12" s="219"/>
      <c r="D12" s="211"/>
      <c r="E12" s="217"/>
      <c r="F12" s="514" t="s">
        <v>183</v>
      </c>
      <c r="G12" s="551"/>
      <c r="H12" s="515" t="s">
        <v>177</v>
      </c>
      <c r="I12" s="551"/>
      <c r="J12" s="541" t="s">
        <v>180</v>
      </c>
      <c r="K12" s="542"/>
      <c r="L12" s="217"/>
      <c r="M12" s="514" t="s">
        <v>183</v>
      </c>
      <c r="N12" s="515"/>
      <c r="O12" s="515" t="s">
        <v>177</v>
      </c>
      <c r="P12" s="551"/>
      <c r="Q12" s="541" t="s">
        <v>180</v>
      </c>
      <c r="R12" s="542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</row>
    <row r="13" spans="1:51" s="9" customFormat="1" ht="32.25" customHeight="1" thickBot="1" x14ac:dyDescent="0.3">
      <c r="A13" s="220"/>
      <c r="B13" s="220"/>
      <c r="C13" s="221"/>
      <c r="D13" s="211"/>
      <c r="E13" s="217"/>
      <c r="F13" s="328">
        <f>Economico!G83</f>
        <v>113.03333333333333</v>
      </c>
      <c r="G13" s="285" t="str">
        <f>CONCATENATE(ud,"/",up)</f>
        <v>$/qq</v>
      </c>
      <c r="H13" s="329">
        <f ca="1">IF($C$4="normales",Economico!B83,IF($C$4="favorables a roya",Economico!C83,IF($C$4="desfavorables a roya",Economico!D83,IF($C$4="muy favorables a roya",Economico!E83))))</f>
        <v>123.85964912280703</v>
      </c>
      <c r="I13" s="285" t="str">
        <f>CONCATENATE(ud,"/",up)</f>
        <v>$/qq</v>
      </c>
      <c r="J13" s="329">
        <f>Economico!F83</f>
        <v>91.927860696517413</v>
      </c>
      <c r="K13" s="286" t="str">
        <f>CONCATENATE(ud,"/",up)</f>
        <v>$/qq</v>
      </c>
      <c r="L13" s="217"/>
      <c r="M13" s="522">
        <f>Economico!G79</f>
        <v>2.3273855702094646</v>
      </c>
      <c r="N13" s="523"/>
      <c r="O13" s="523">
        <f ca="1">IF($C$4="normales",Economico!B79,IF($C$4="favorables a roya",Economico!C79,IF($C$4="desfavorables a roya",Economico!D79,IF($C$4="muy favorables a roya",Economico!E79))))</f>
        <v>2.5828669823504087</v>
      </c>
      <c r="P13" s="523"/>
      <c r="Q13" s="524">
        <f>Economico!F79</f>
        <v>1.8217701533323212</v>
      </c>
      <c r="R13" s="525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</row>
    <row r="14" spans="1:51" s="185" customFormat="1" ht="36" customHeight="1" thickTop="1" x14ac:dyDescent="0.35">
      <c r="A14" s="234"/>
      <c r="B14" s="234"/>
      <c r="C14" s="272"/>
      <c r="D14" s="211"/>
      <c r="E14" s="217"/>
      <c r="F14" s="516" t="s">
        <v>196</v>
      </c>
      <c r="G14" s="517"/>
      <c r="H14" s="517"/>
      <c r="I14" s="518"/>
      <c r="J14" s="518"/>
      <c r="K14" s="282"/>
      <c r="L14" s="217"/>
      <c r="M14" s="526" t="s">
        <v>194</v>
      </c>
      <c r="N14" s="527"/>
      <c r="O14" s="527"/>
      <c r="P14" s="527"/>
      <c r="Q14" s="527"/>
      <c r="R14" s="528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</row>
    <row r="15" spans="1:51" s="185" customFormat="1" ht="17.25" customHeight="1" x14ac:dyDescent="0.25">
      <c r="A15" s="234"/>
      <c r="B15" s="234"/>
      <c r="C15" s="273"/>
      <c r="D15" s="211"/>
      <c r="E15" s="217"/>
      <c r="F15" s="514" t="s">
        <v>183</v>
      </c>
      <c r="G15" s="515"/>
      <c r="H15" s="515" t="s">
        <v>177</v>
      </c>
      <c r="I15" s="551"/>
      <c r="J15" s="558" t="s">
        <v>180</v>
      </c>
      <c r="K15" s="559"/>
      <c r="L15" s="217"/>
      <c r="M15" s="547" t="s">
        <v>183</v>
      </c>
      <c r="N15" s="554"/>
      <c r="O15" s="548" t="s">
        <v>177</v>
      </c>
      <c r="P15" s="548"/>
      <c r="Q15" s="549" t="s">
        <v>180</v>
      </c>
      <c r="R15" s="550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</row>
    <row r="16" spans="1:51" s="185" customFormat="1" ht="30.75" customHeight="1" thickBot="1" x14ac:dyDescent="0.3">
      <c r="A16" s="275"/>
      <c r="B16" s="275"/>
      <c r="C16" s="274"/>
      <c r="D16" s="211"/>
      <c r="E16" s="217"/>
      <c r="F16" s="330">
        <f>F6-ingresos.otros</f>
        <v>2456</v>
      </c>
      <c r="G16" s="331" t="str">
        <f>+ud</f>
        <v>$</v>
      </c>
      <c r="H16" s="333">
        <f ca="1">H6-ingresos.otros</f>
        <v>1946</v>
      </c>
      <c r="I16" s="331" t="str">
        <f>+ud</f>
        <v>$</v>
      </c>
      <c r="J16" s="333">
        <f>J6-ingresos.otros</f>
        <v>3887</v>
      </c>
      <c r="K16" s="334" t="str">
        <f>+ud</f>
        <v>$</v>
      </c>
      <c r="L16" s="217"/>
      <c r="M16" s="552">
        <f>nb.jornales.hist</f>
        <v>15</v>
      </c>
      <c r="N16" s="553"/>
      <c r="O16" s="555">
        <f ca="1">IF($C$4="normales",'Mano de obra e insumos'!G46,IF($C$4="favorables a roya",'Mano de obra e insumos'!H46,IF($C$4="desfavorables a roya",'Mano de obra e insumos'!I46,IF($C$4="muy favorables a roya",'Mano de obra e insumos'!J46))))</f>
        <v>0</v>
      </c>
      <c r="P16" s="556"/>
      <c r="Q16" s="555">
        <f>'Mano de obra e insumos'!K46</f>
        <v>96.600000000000023</v>
      </c>
      <c r="R16" s="557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</row>
    <row r="17" spans="1:41" s="185" customFormat="1" ht="15.75" thickTop="1" x14ac:dyDescent="0.25">
      <c r="A17" s="234"/>
      <c r="B17" s="234"/>
      <c r="C17" s="234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</row>
    <row r="18" spans="1:41" s="185" customFormat="1" ht="53.25" customHeight="1" x14ac:dyDescent="0.25">
      <c r="A18" s="234"/>
      <c r="B18" s="234"/>
      <c r="C18" s="234"/>
      <c r="D18" s="217"/>
      <c r="E18" s="217"/>
      <c r="F18" s="217"/>
      <c r="G18" s="217"/>
      <c r="H18" s="217"/>
      <c r="I18" s="217"/>
      <c r="J18" s="217"/>
      <c r="K18" s="217"/>
      <c r="L18" s="217"/>
      <c r="M18" s="284"/>
      <c r="N18" s="217"/>
      <c r="O18" s="217"/>
      <c r="P18" s="217"/>
      <c r="Q18" s="217"/>
      <c r="R18" s="217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</row>
    <row r="19" spans="1:41" s="185" customFormat="1" ht="43.5" customHeight="1" x14ac:dyDescent="0.25">
      <c r="A19" s="234"/>
      <c r="B19" s="234"/>
      <c r="C19" s="234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</row>
    <row r="20" spans="1:41" s="185" customFormat="1" x14ac:dyDescent="0.25">
      <c r="A20" s="234"/>
      <c r="B20" s="234"/>
      <c r="C20" s="234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</row>
    <row r="21" spans="1:41" s="185" customFormat="1" ht="51.75" customHeight="1" x14ac:dyDescent="0.25">
      <c r="A21" s="234"/>
      <c r="B21" s="234"/>
      <c r="C21" s="234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</row>
    <row r="22" spans="1:41" s="234" customFormat="1" ht="43.5" customHeight="1" x14ac:dyDescent="0.25"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</row>
    <row r="23" spans="1:41" s="234" customFormat="1" x14ac:dyDescent="0.25"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</row>
    <row r="24" spans="1:41" s="234" customFormat="1" ht="51.75" customHeight="1" x14ac:dyDescent="0.25"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</row>
    <row r="25" spans="1:41" s="234" customFormat="1" ht="43.5" customHeight="1" x14ac:dyDescent="0.25"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</row>
    <row r="26" spans="1:41" s="234" customFormat="1" x14ac:dyDescent="0.25"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</row>
    <row r="27" spans="1:41" s="234" customFormat="1" ht="51.75" customHeight="1" x14ac:dyDescent="0.25"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</row>
    <row r="28" spans="1:41" s="234" customFormat="1" ht="43.5" customHeight="1" x14ac:dyDescent="0.25"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</row>
    <row r="29" spans="1:41" s="234" customFormat="1" x14ac:dyDescent="0.25"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</row>
    <row r="30" spans="1:41" s="234" customFormat="1" ht="51.75" customHeight="1" x14ac:dyDescent="0.25"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</row>
    <row r="31" spans="1:41" s="234" customFormat="1" x14ac:dyDescent="0.25"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</row>
    <row r="32" spans="1:41" s="234" customFormat="1" x14ac:dyDescent="0.25"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</row>
    <row r="33" spans="4:41" s="234" customFormat="1" x14ac:dyDescent="0.25"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</row>
    <row r="34" spans="4:41" s="234" customFormat="1" x14ac:dyDescent="0.25"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</row>
    <row r="35" spans="4:41" s="234" customFormat="1" x14ac:dyDescent="0.25"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</row>
    <row r="36" spans="4:41" s="234" customFormat="1" x14ac:dyDescent="0.25"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</row>
    <row r="37" spans="4:41" s="234" customFormat="1" x14ac:dyDescent="0.25"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</row>
    <row r="38" spans="4:41" s="234" customFormat="1" x14ac:dyDescent="0.25"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</row>
    <row r="39" spans="4:41" s="234" customFormat="1" x14ac:dyDescent="0.25"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</row>
    <row r="40" spans="4:41" s="234" customFormat="1" x14ac:dyDescent="0.25"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</row>
    <row r="41" spans="4:41" s="185" customFormat="1" x14ac:dyDescent="0.25">
      <c r="D41" s="211"/>
      <c r="E41" s="211"/>
      <c r="F41" s="211"/>
      <c r="G41" s="211"/>
      <c r="H41" s="211"/>
      <c r="I41" s="211"/>
      <c r="J41" s="211"/>
      <c r="K41" s="211"/>
      <c r="L41" s="217"/>
      <c r="M41" s="211"/>
      <c r="N41" s="211"/>
      <c r="O41" s="211"/>
      <c r="P41" s="211"/>
      <c r="Q41" s="211"/>
      <c r="R41" s="211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</row>
    <row r="42" spans="4:41" s="185" customFormat="1" x14ac:dyDescent="0.25">
      <c r="D42" s="211"/>
      <c r="E42" s="211"/>
      <c r="F42" s="211"/>
      <c r="G42" s="211"/>
      <c r="H42" s="211"/>
      <c r="I42" s="211"/>
      <c r="J42" s="211"/>
      <c r="K42" s="211"/>
      <c r="L42" s="217"/>
      <c r="M42" s="211"/>
      <c r="N42" s="211"/>
      <c r="O42" s="211"/>
      <c r="P42" s="211"/>
      <c r="Q42" s="211"/>
      <c r="R42" s="211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</row>
  </sheetData>
  <sheetProtection algorithmName="SHA-512" hashValue="J4hOTtOfk9ZZLlPteUmLOC21XJbILB+e8ZvDPcODSJb636pm3WF+x/eOBt1euc2SQHCFsZTWMAVg77gqQS5FnA==" saltValue="ysrWV59se+K7vuECI122jA==" spinCount="100000" sheet="1" objects="1" scenarios="1"/>
  <mergeCells count="66">
    <mergeCell ref="B1:C1"/>
    <mergeCell ref="F1:K1"/>
    <mergeCell ref="M1:R1"/>
    <mergeCell ref="A2:C2"/>
    <mergeCell ref="F2:G2"/>
    <mergeCell ref="H2:I2"/>
    <mergeCell ref="J2:K2"/>
    <mergeCell ref="M2:N2"/>
    <mergeCell ref="O2:P2"/>
    <mergeCell ref="Q2:R2"/>
    <mergeCell ref="F5:G5"/>
    <mergeCell ref="H5:I5"/>
    <mergeCell ref="J5:K5"/>
    <mergeCell ref="M5:N5"/>
    <mergeCell ref="O5:P5"/>
    <mergeCell ref="F3:G3"/>
    <mergeCell ref="H3:I3"/>
    <mergeCell ref="J3:K3"/>
    <mergeCell ref="F4:K4"/>
    <mergeCell ref="M4:Q4"/>
    <mergeCell ref="Q5:R5"/>
    <mergeCell ref="M6:M7"/>
    <mergeCell ref="N6:N7"/>
    <mergeCell ref="O6:O7"/>
    <mergeCell ref="P6:P7"/>
    <mergeCell ref="Q6:Q7"/>
    <mergeCell ref="R6:R7"/>
    <mergeCell ref="F7:G7"/>
    <mergeCell ref="H7:I7"/>
    <mergeCell ref="J7:K7"/>
    <mergeCell ref="F8:J8"/>
    <mergeCell ref="M8:R8"/>
    <mergeCell ref="Q9:R9"/>
    <mergeCell ref="F10:G10"/>
    <mergeCell ref="H10:I10"/>
    <mergeCell ref="J10:K10"/>
    <mergeCell ref="M10:N10"/>
    <mergeCell ref="O10:P10"/>
    <mergeCell ref="Q10:R10"/>
    <mergeCell ref="F9:G9"/>
    <mergeCell ref="H9:I9"/>
    <mergeCell ref="J9:K9"/>
    <mergeCell ref="M9:N9"/>
    <mergeCell ref="O9:P9"/>
    <mergeCell ref="F11:K11"/>
    <mergeCell ref="M11:R11"/>
    <mergeCell ref="F12:G12"/>
    <mergeCell ref="H12:I12"/>
    <mergeCell ref="J12:K12"/>
    <mergeCell ref="M12:N12"/>
    <mergeCell ref="O12:P12"/>
    <mergeCell ref="Q12:R12"/>
    <mergeCell ref="F14:J14"/>
    <mergeCell ref="M14:R14"/>
    <mergeCell ref="F15:G15"/>
    <mergeCell ref="H15:I15"/>
    <mergeCell ref="J15:K15"/>
    <mergeCell ref="M15:N15"/>
    <mergeCell ref="O15:P15"/>
    <mergeCell ref="Q15:R15"/>
    <mergeCell ref="M16:N16"/>
    <mergeCell ref="O16:P16"/>
    <mergeCell ref="Q16:R16"/>
    <mergeCell ref="M13:N13"/>
    <mergeCell ref="O13:P13"/>
    <mergeCell ref="Q13:R13"/>
  </mergeCells>
  <conditionalFormatting sqref="B4">
    <cfRule type="expression" dxfId="67" priority="65">
      <formula>IF(D4="cosecha",IF(B4&gt;=30,TRUE),FALSE)</formula>
    </cfRule>
    <cfRule type="expression" dxfId="66" priority="66">
      <formula>IF(D4="cosecha",IF(AND(B4&lt; 30,B4&gt;=20),TRUE),FALSE)</formula>
    </cfRule>
    <cfRule type="expression" dxfId="65" priority="67">
      <formula>IF(D4="cosecha",IF(AND(B4&lt; 20,B4&gt;=15),TRUE),FALSE)</formula>
    </cfRule>
    <cfRule type="expression" dxfId="64" priority="68">
      <formula>IF(D4="cosecha",IF(AND(B4&lt; 15,B4&gt;=5),TRUE),FALSE)</formula>
    </cfRule>
    <cfRule type="expression" dxfId="63" priority="69">
      <formula>IF(D4="cosecha",IF(AND(B4&lt; 5,B4&gt;=0),TRUE),FALSE)</formula>
    </cfRule>
    <cfRule type="expression" dxfId="62" priority="70">
      <formula>IF(D4="antes_cosecha",IF(B4&gt;=20,TRUE),FALSE)</formula>
    </cfRule>
    <cfRule type="expression" dxfId="61" priority="71">
      <formula>IF(D4="antes_cosecha",IF(AND(B4&lt; 20,B4&gt;=10),TRUE),FALSE)</formula>
    </cfRule>
    <cfRule type="expression" dxfId="60" priority="72">
      <formula>IF(D4="antes_cosecha",IF(AND(B4&lt; 10,B4&gt;=5),TRUE),FALSE)</formula>
    </cfRule>
    <cfRule type="expression" dxfId="59" priority="73">
      <formula>IF(D4="antes_cosecha",IF(AND(B4&lt; 5,B4&gt;=3),TRUE),FALSE)</formula>
    </cfRule>
    <cfRule type="expression" dxfId="58" priority="74">
      <formula>IF(D4="antes_cosecha",IF(AND(B4&lt;5,B4&gt;=0),TRUE),FALSE)</formula>
    </cfRule>
  </conditionalFormatting>
  <conditionalFormatting sqref="H3">
    <cfRule type="expression" dxfId="57" priority="55">
      <formula>IF(D8="cosecha",IF(H3&gt;=30,TRUE),FALSE)</formula>
    </cfRule>
    <cfRule type="expression" dxfId="56" priority="56">
      <formula>IF(D8="cosecha",IF(AND(H3&lt; 30,H3&gt;=20),TRUE),FALSE)</formula>
    </cfRule>
    <cfRule type="expression" dxfId="55" priority="57">
      <formula>IF(D8="cosecha",IF(AND(H3&lt; 20,H3&gt;=15),TRUE),FALSE)</formula>
    </cfRule>
    <cfRule type="expression" dxfId="54" priority="58">
      <formula>IF(D8="cosecha",IF(AND(H3&lt; 15,H3&gt;=5),TRUE),FALSE)</formula>
    </cfRule>
    <cfRule type="expression" dxfId="53" priority="59">
      <formula>IF(D8="cosecha",IF(AND(H3&lt; 5,H3&gt;=0),TRUE),FALSE)</formula>
    </cfRule>
    <cfRule type="expression" dxfId="52" priority="60">
      <formula>IF(D8="antes_cosecha",IF(H3&gt;=20,TRUE),FALSE)</formula>
    </cfRule>
    <cfRule type="expression" dxfId="51" priority="61">
      <formula>IF(D8="antes_cosecha",IF(AND(H3&lt; 20,H3&gt;=10),TRUE),FALSE)</formula>
    </cfRule>
    <cfRule type="expression" dxfId="50" priority="62">
      <formula>IF(D8="antes_cosecha",IF(AND(H3&lt; 10,H3&gt;=5),TRUE),FALSE)</formula>
    </cfRule>
    <cfRule type="expression" dxfId="49" priority="63">
      <formula>IF(D8="antes_cosecha",IF(AND(H3&lt; 5,H3&gt;=3),TRUE),FALSE)</formula>
    </cfRule>
    <cfRule type="expression" dxfId="48" priority="64">
      <formula>IF(D8="antes_cosecha",IF(AND(H3&lt;5,H3&gt;=0),TRUE),FALSE)</formula>
    </cfRule>
  </conditionalFormatting>
  <conditionalFormatting sqref="F3">
    <cfRule type="expression" dxfId="47" priority="45">
      <formula>IF(D8="cosecha",IF(F3&gt;=30,TRUE),FALSE)</formula>
    </cfRule>
    <cfRule type="expression" dxfId="46" priority="46">
      <formula>IF(D8="cosecha",IF(AND(F3&lt; 30,F3&gt;=20),TRUE),FALSE)</formula>
    </cfRule>
    <cfRule type="expression" dxfId="45" priority="47">
      <formula>IF(D8="cosecha",IF(AND(F3&lt; 20,F3&gt;=15),TRUE),FALSE)</formula>
    </cfRule>
    <cfRule type="expression" dxfId="44" priority="48">
      <formula>IF(D8="cosecha",IF(AND(F3&lt; 15,F3&gt;=5),TRUE),FALSE)</formula>
    </cfRule>
    <cfRule type="expression" dxfId="43" priority="49">
      <formula>IF(D8="cosecha",IF(AND(F3&lt; 5,F3&gt;=0),TRUE),FALSE)</formula>
    </cfRule>
    <cfRule type="expression" dxfId="42" priority="50">
      <formula>IF(D8="antes_cosecha",IF(F3&gt;=20,TRUE),FALSE)</formula>
    </cfRule>
    <cfRule type="expression" dxfId="41" priority="51">
      <formula>IF(D8="antes_cosecha",IF(AND(F3&lt; 20,F3&gt;=10),TRUE),FALSE)</formula>
    </cfRule>
    <cfRule type="expression" dxfId="40" priority="52">
      <formula>IF(D8="antes_cosecha",IF(AND(F3&lt; 10,F3&gt;=5),TRUE),FALSE)</formula>
    </cfRule>
    <cfRule type="expression" dxfId="39" priority="53">
      <formula>IF(D8="antes_cosecha",IF(AND(F3&lt; 5,F3&gt;=3),TRUE),FALSE)</formula>
    </cfRule>
    <cfRule type="expression" dxfId="38" priority="54">
      <formula>IF(D8="antes_cosecha",IF(AND(F3&lt;5,F3&gt;=0),TRUE),FALSE)</formula>
    </cfRule>
  </conditionalFormatting>
  <conditionalFormatting sqref="C4">
    <cfRule type="cellIs" dxfId="37" priority="41" operator="equal">
      <formula>"normales"</formula>
    </cfRule>
    <cfRule type="cellIs" dxfId="36" priority="42" operator="equal">
      <formula>"desfavorables a roya"</formula>
    </cfRule>
    <cfRule type="cellIs" dxfId="35" priority="43" operator="equal">
      <formula>"favorables a roya"</formula>
    </cfRule>
    <cfRule type="cellIs" dxfId="34" priority="44" operator="equal">
      <formula>"muy favorables a roya"</formula>
    </cfRule>
  </conditionalFormatting>
  <conditionalFormatting sqref="J3">
    <cfRule type="expression" dxfId="33" priority="31">
      <formula>IF(D8="cosecha",IF(J3&gt;=30,TRUE),FALSE)</formula>
    </cfRule>
    <cfRule type="expression" dxfId="32" priority="32">
      <formula>IF(D8="cosecha",IF(AND(J3&lt; 30,J3&gt;=20),TRUE),FALSE)</formula>
    </cfRule>
    <cfRule type="expression" dxfId="31" priority="33">
      <formula>IF(D8="cosecha",IF(AND(J3&lt; 20,J3&gt;=15),TRUE),FALSE)</formula>
    </cfRule>
    <cfRule type="expression" dxfId="30" priority="34">
      <formula>IF(D8="cosecha",IF(AND(J3&lt; 15,J3&gt;=5),TRUE),FALSE)</formula>
    </cfRule>
    <cfRule type="expression" dxfId="29" priority="35">
      <formula>IF(D8="cosecha",IF(AND(J3&lt; 5,J3&gt;=0),TRUE),FALSE)</formula>
    </cfRule>
    <cfRule type="expression" dxfId="28" priority="36">
      <formula>IF(D8="antes_cosecha",IF(J3&gt;=20,TRUE),FALSE)</formula>
    </cfRule>
    <cfRule type="expression" dxfId="27" priority="37">
      <formula>IF(D8="antes_cosecha",IF(AND(J3&lt; 20,J3&gt;=10),TRUE),FALSE)</formula>
    </cfRule>
    <cfRule type="expression" dxfId="26" priority="38">
      <formula>IF(D8="antes_cosecha",IF(AND(J3&lt; 10,J3&gt;=5),TRUE),FALSE)</formula>
    </cfRule>
    <cfRule type="expression" dxfId="25" priority="39">
      <formula>IF(D8="antes_cosecha",IF(AND(J3&lt; 5,J3&gt;=3),TRUE),FALSE)</formula>
    </cfRule>
    <cfRule type="expression" dxfId="24" priority="40">
      <formula>IF(D8="antes_cosecha",IF(AND(J3&lt;5,J3&gt;=0),TRUE),FALSE)</formula>
    </cfRule>
  </conditionalFormatting>
  <conditionalFormatting sqref="F7">
    <cfRule type="cellIs" dxfId="23" priority="29" operator="equal">
      <formula>"critico"</formula>
    </cfRule>
    <cfRule type="cellIs" dxfId="22" priority="30" operator="equal">
      <formula>"sostenible"</formula>
    </cfRule>
  </conditionalFormatting>
  <conditionalFormatting sqref="F7">
    <cfRule type="cellIs" dxfId="21" priority="28" operator="equal">
      <formula>"insostenible"</formula>
    </cfRule>
  </conditionalFormatting>
  <conditionalFormatting sqref="H7 J7">
    <cfRule type="cellIs" dxfId="20" priority="20" operator="equal">
      <formula>"critico"</formula>
    </cfRule>
    <cfRule type="cellIs" dxfId="19" priority="21" operator="equal">
      <formula>"sostenible"</formula>
    </cfRule>
  </conditionalFormatting>
  <conditionalFormatting sqref="H7 J7">
    <cfRule type="cellIs" dxfId="18" priority="19" operator="equal">
      <formula>"insostenible"</formula>
    </cfRule>
  </conditionalFormatting>
  <conditionalFormatting sqref="M10">
    <cfRule type="colorScale" priority="18">
      <colorScale>
        <cfvo type="num" val="1"/>
        <cfvo type="num" val="3"/>
        <cfvo type="num" val="10"/>
        <color rgb="FF00B050"/>
        <color rgb="FFFFEB84"/>
        <color rgb="FFF43E0C"/>
      </colorScale>
    </cfRule>
  </conditionalFormatting>
  <conditionalFormatting sqref="M13">
    <cfRule type="colorScale" priority="17">
      <colorScale>
        <cfvo type="num" val="2"/>
        <cfvo type="num" val="6"/>
        <cfvo type="num" val="10"/>
        <color rgb="FF00B050"/>
        <color rgb="FFFFEB84"/>
        <color rgb="FFF43E0C"/>
      </colorScale>
    </cfRule>
  </conditionalFormatting>
  <conditionalFormatting sqref="F10">
    <cfRule type="colorScale" priority="16">
      <colorScale>
        <cfvo type="num" val="1"/>
        <cfvo type="num" val="2"/>
        <cfvo type="num" val="5"/>
        <color rgb="FFFF0000"/>
        <color rgb="FFFFEB84"/>
        <color rgb="FF00B050"/>
      </colorScale>
    </cfRule>
  </conditionalFormatting>
  <conditionalFormatting sqref="H10 J10">
    <cfRule type="colorScale" priority="15">
      <colorScale>
        <cfvo type="num" val="1"/>
        <cfvo type="num" val="2"/>
        <cfvo type="num" val="5"/>
        <color rgb="FFFF0000"/>
        <color rgb="FFFFEB84"/>
        <color rgb="FF00B050"/>
      </colorScale>
    </cfRule>
  </conditionalFormatting>
  <conditionalFormatting sqref="O10 Q10">
    <cfRule type="colorScale" priority="14">
      <colorScale>
        <cfvo type="num" val="1"/>
        <cfvo type="num" val="3"/>
        <cfvo type="num" val="10"/>
        <color rgb="FF00B050"/>
        <color rgb="FFFFEB84"/>
        <color rgb="FFF43E0C"/>
      </colorScale>
    </cfRule>
  </conditionalFormatting>
  <conditionalFormatting sqref="Q13 O13">
    <cfRule type="colorScale" priority="13">
      <colorScale>
        <cfvo type="num" val="2"/>
        <cfvo type="num" val="6"/>
        <cfvo type="num" val="10"/>
        <color rgb="FF00B050"/>
        <color rgb="FFFFEB84"/>
        <color rgb="FFF43E0C"/>
      </colorScale>
    </cfRule>
  </conditionalFormatting>
  <conditionalFormatting sqref="G6">
    <cfRule type="expression" dxfId="17" priority="25">
      <formula>IF(F7="critico",TRUE,FALSE)</formula>
    </cfRule>
    <cfRule type="expression" dxfId="16" priority="26">
      <formula>IF(F7="insostenible",TRUE,FALSE)</formula>
    </cfRule>
    <cfRule type="expression" dxfId="15" priority="27">
      <formula>IF(F7="sostenible",TRUE,FALSE)</formula>
    </cfRule>
  </conditionalFormatting>
  <conditionalFormatting sqref="I6">
    <cfRule type="expression" dxfId="14" priority="10">
      <formula>IF(H7="critico",TRUE,FALSE)</formula>
    </cfRule>
    <cfRule type="expression" dxfId="13" priority="11">
      <formula>IF(H7="insostenible",TRUE,FALSE)</formula>
    </cfRule>
    <cfRule type="expression" dxfId="12" priority="12">
      <formula>IF(H7="sostenible",TRUE,FALSE)</formula>
    </cfRule>
  </conditionalFormatting>
  <conditionalFormatting sqref="F6">
    <cfRule type="expression" dxfId="11" priority="7">
      <formula>IF(F7="critico",TRUE,FALSE)</formula>
    </cfRule>
    <cfRule type="expression" dxfId="10" priority="8">
      <formula>IF(F7="insostenible",TRUE,FALSE)</formula>
    </cfRule>
    <cfRule type="expression" dxfId="9" priority="9">
      <formula>IF(F7="sostenible",TRUE,FALSE)</formula>
    </cfRule>
  </conditionalFormatting>
  <conditionalFormatting sqref="H6">
    <cfRule type="expression" dxfId="8" priority="22">
      <formula>IF(H7="critico",TRUE,FALSE)</formula>
    </cfRule>
    <cfRule type="expression" dxfId="7" priority="23">
      <formula>IF(H7="insostenible",TRUE,FALSE)</formula>
    </cfRule>
    <cfRule type="expression" dxfId="6" priority="24">
      <formula>IF(H7="sostenible",TRUE,FALSE)</formula>
    </cfRule>
  </conditionalFormatting>
  <conditionalFormatting sqref="J6">
    <cfRule type="expression" dxfId="5" priority="4">
      <formula>IF(J7="critico",TRUE,FALSE)</formula>
    </cfRule>
    <cfRule type="expression" dxfId="4" priority="5">
      <formula>IF(J7="insostenible",TRUE,FALSE)</formula>
    </cfRule>
    <cfRule type="expression" dxfId="3" priority="6">
      <formula>IF(J7="sostenible",TRUE,FALSE)</formula>
    </cfRule>
  </conditionalFormatting>
  <conditionalFormatting sqref="K6">
    <cfRule type="expression" dxfId="2" priority="1">
      <formula>IF(J7="critico",TRUE,FALSE)</formula>
    </cfRule>
    <cfRule type="expression" dxfId="1" priority="2">
      <formula>IF(J7="insostenible",TRUE,FALSE)</formula>
    </cfRule>
    <cfRule type="expression" dxfId="0" priority="3">
      <formula>IF(J7="sostenible",TRUE,FALSE)</formula>
    </cfRule>
  </conditionalFormatting>
  <dataValidations count="2">
    <dataValidation type="list" allowBlank="1" showInputMessage="1" showErrorMessage="1" sqref="C4">
      <formula1>"normales,desfavorables a roya, favorables a roya, muy favorables a roya"</formula1>
    </dataValidation>
    <dataValidation type="list" allowBlank="1" showInputMessage="1" showErrorMessage="1" sqref="A4">
      <formula1>"enero,febrero,marzo,abril,mayo,junio,julio,agosto,setiembre,octubre,noviembre,diciembre"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Z44" sqref="Z44"/>
    </sheetView>
  </sheetViews>
  <sheetFormatPr baseColWidth="10" defaultRowHeight="15" x14ac:dyDescent="0.25"/>
  <cols>
    <col min="1" max="1" width="36.7109375" customWidth="1"/>
    <col min="2" max="2" width="22.42578125" customWidth="1"/>
    <col min="3" max="25" width="0" hidden="1" customWidth="1"/>
  </cols>
  <sheetData>
    <row r="1" spans="1:25" ht="23.25" x14ac:dyDescent="0.35">
      <c r="A1" s="324" t="s">
        <v>257</v>
      </c>
      <c r="B1" s="325" t="s">
        <v>211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</row>
    <row r="2" spans="1:25" ht="23.25" x14ac:dyDescent="0.25">
      <c r="A2" s="323" t="s">
        <v>197</v>
      </c>
      <c r="B2" s="326" t="s">
        <v>240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ht="23.25" x14ac:dyDescent="0.25">
      <c r="A3" s="323" t="s">
        <v>220</v>
      </c>
      <c r="B3" s="326" t="s">
        <v>256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ht="23.25" x14ac:dyDescent="0.25">
      <c r="A4" s="323" t="s">
        <v>198</v>
      </c>
      <c r="B4" s="327" t="s">
        <v>241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ht="23.25" x14ac:dyDescent="0.25">
      <c r="A5" s="323" t="s">
        <v>239</v>
      </c>
      <c r="B5" s="327">
        <v>1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</row>
    <row r="6" spans="1:25" hidden="1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</row>
    <row r="7" spans="1:25" hidden="1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</row>
    <row r="8" spans="1:25" hidden="1" x14ac:dyDescent="0.25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</row>
    <row r="9" spans="1:25" hidden="1" x14ac:dyDescent="0.25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</row>
    <row r="10" spans="1:25" hidden="1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</row>
    <row r="11" spans="1:25" hidden="1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</row>
    <row r="12" spans="1:25" hidden="1" x14ac:dyDescent="0.25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</row>
    <row r="13" spans="1:25" hidden="1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</row>
    <row r="14" spans="1:25" hidden="1" x14ac:dyDescent="0.25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hidden="1" x14ac:dyDescent="0.2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</row>
    <row r="16" spans="1:25" hidden="1" x14ac:dyDescent="0.2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</row>
    <row r="17" spans="1:25" hidden="1" x14ac:dyDescent="0.2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</row>
    <row r="18" spans="1:25" hidden="1" x14ac:dyDescent="0.2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</row>
    <row r="19" spans="1:25" hidden="1" x14ac:dyDescent="0.2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</row>
    <row r="20" spans="1:25" hidden="1" x14ac:dyDescent="0.2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</row>
    <row r="21" spans="1:25" hidden="1" x14ac:dyDescent="0.2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</row>
    <row r="22" spans="1:25" hidden="1" x14ac:dyDescent="0.2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</row>
    <row r="23" spans="1:25" hidden="1" x14ac:dyDescent="0.2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</row>
    <row r="24" spans="1:25" hidden="1" x14ac:dyDescent="0.2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</row>
    <row r="25" spans="1:25" hidden="1" x14ac:dyDescent="0.25">
      <c r="A25" s="185"/>
      <c r="B25" s="185"/>
      <c r="C25" s="185"/>
    </row>
    <row r="26" spans="1:25" hidden="1" x14ac:dyDescent="0.25"/>
  </sheetData>
  <dataValidations count="1">
    <dataValidation type="list" allowBlank="1" showInputMessage="1" showErrorMessage="1" sqref="B1">
      <formula1>paises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"/>
  <sheetViews>
    <sheetView workbookViewId="0">
      <selection activeCell="L2" sqref="L2"/>
    </sheetView>
  </sheetViews>
  <sheetFormatPr baseColWidth="10" defaultRowHeight="15" x14ac:dyDescent="0.25"/>
  <cols>
    <col min="1" max="1" width="11.42578125" style="9"/>
    <col min="2" max="2" width="17.28515625" style="9" customWidth="1"/>
    <col min="3" max="3" width="13.85546875" style="9" customWidth="1"/>
    <col min="4" max="4" width="17.28515625" style="9" customWidth="1"/>
    <col min="5" max="5" width="17.85546875" style="9" customWidth="1"/>
    <col min="6" max="6" width="15.7109375" style="9" customWidth="1"/>
    <col min="7" max="8" width="17" style="9" customWidth="1"/>
    <col min="9" max="9" width="15.140625" style="9" customWidth="1"/>
    <col min="10" max="10" width="18.28515625" style="9" customWidth="1"/>
    <col min="11" max="11" width="11.42578125" style="9" customWidth="1"/>
    <col min="12" max="16384" width="11.42578125" style="9"/>
  </cols>
  <sheetData>
    <row r="1" spans="1:12" ht="30" x14ac:dyDescent="0.25">
      <c r="A1" s="91" t="s">
        <v>6</v>
      </c>
      <c r="B1" s="91" t="s">
        <v>48</v>
      </c>
      <c r="C1" s="92" t="s">
        <v>12</v>
      </c>
      <c r="D1" s="93" t="s">
        <v>11</v>
      </c>
      <c r="E1" s="93" t="s">
        <v>13</v>
      </c>
      <c r="F1" s="92" t="s">
        <v>16</v>
      </c>
      <c r="G1" s="92" t="s">
        <v>15</v>
      </c>
      <c r="H1" s="92" t="s">
        <v>65</v>
      </c>
      <c r="I1" s="94" t="s">
        <v>8</v>
      </c>
      <c r="J1" s="95" t="s">
        <v>9</v>
      </c>
      <c r="L1" s="100" t="s">
        <v>0</v>
      </c>
    </row>
    <row r="2" spans="1:12" x14ac:dyDescent="0.25">
      <c r="A2" s="96">
        <v>1</v>
      </c>
      <c r="B2" s="173" t="str">
        <f>'Roya historica'!C4</f>
        <v>despues_cosecha</v>
      </c>
      <c r="C2" s="174">
        <f>'Roya historica'!B4</f>
        <v>30</v>
      </c>
      <c r="D2" s="97">
        <f>C3-C2</f>
        <v>-18</v>
      </c>
      <c r="E2" s="98">
        <f>D2/C2</f>
        <v>-0.6</v>
      </c>
      <c r="F2" s="98">
        <f>IF(D2&gt;0,MIN(E2*$F$31,0.95),$E2)</f>
        <v>-0.6</v>
      </c>
      <c r="G2" s="98">
        <f>IF($D2&gt;0,MIN($E2*$G$31,0.95),$E2)</f>
        <v>-0.6</v>
      </c>
      <c r="H2" s="98">
        <f>IF($D2&gt;0,MIN($E2*$H$31,0.95),$E2)</f>
        <v>-0.6</v>
      </c>
      <c r="I2" s="99">
        <f>C2/MAX($C$2:$C$13)</f>
        <v>0.76923076923076927</v>
      </c>
      <c r="J2" s="1">
        <f>VLOOKUP("100",inc.mois,2,FALSE)</f>
        <v>0</v>
      </c>
      <c r="K2" s="153">
        <v>1</v>
      </c>
      <c r="L2" s="10">
        <v>1</v>
      </c>
    </row>
    <row r="3" spans="1:12" x14ac:dyDescent="0.25">
      <c r="A3" s="96">
        <v>2</v>
      </c>
      <c r="B3" s="173" t="str">
        <f>'Roya historica'!C5</f>
        <v>despues_cosecha</v>
      </c>
      <c r="C3" s="174">
        <f>'Roya historica'!B5</f>
        <v>12</v>
      </c>
      <c r="D3" s="97">
        <f t="shared" ref="D3:D12" si="0">C4-C3</f>
        <v>-8</v>
      </c>
      <c r="E3" s="98">
        <f t="shared" ref="E3:E13" si="1">D3/C3</f>
        <v>-0.66666666666666663</v>
      </c>
      <c r="F3" s="98">
        <f t="shared" ref="F3:F13" si="2">IF(D3&gt;0,MIN(E3*$F$31,0.95),$E3)</f>
        <v>-0.66666666666666663</v>
      </c>
      <c r="G3" s="98">
        <f t="shared" ref="G3:G13" si="3">IF($D3&gt;0,MIN($E3*$G$31,0.95),$E3)</f>
        <v>-0.66666666666666663</v>
      </c>
      <c r="H3" s="98">
        <f t="shared" ref="H3:H13" si="4">IF($D3&gt;0,MIN($E3*$H$31,0.95),$E3)</f>
        <v>-0.66666666666666663</v>
      </c>
      <c r="I3" s="99">
        <f t="shared" ref="I3:I13" si="5">C3/MAX($C$2:$C$13)</f>
        <v>0.30769230769230771</v>
      </c>
      <c r="J3" s="95"/>
      <c r="K3" s="153">
        <v>1</v>
      </c>
      <c r="L3" s="10">
        <v>2</v>
      </c>
    </row>
    <row r="4" spans="1:12" x14ac:dyDescent="0.25">
      <c r="A4" s="96">
        <v>3</v>
      </c>
      <c r="B4" s="173" t="str">
        <f>'Roya historica'!C6</f>
        <v>despues_cosecha</v>
      </c>
      <c r="C4" s="174">
        <f>'Roya historica'!B6</f>
        <v>4</v>
      </c>
      <c r="D4" s="97">
        <f t="shared" si="0"/>
        <v>-3</v>
      </c>
      <c r="E4" s="98">
        <f t="shared" si="1"/>
        <v>-0.75</v>
      </c>
      <c r="F4" s="98">
        <f t="shared" si="2"/>
        <v>-0.75</v>
      </c>
      <c r="G4" s="98">
        <f t="shared" si="3"/>
        <v>-0.75</v>
      </c>
      <c r="H4" s="98">
        <f t="shared" si="4"/>
        <v>-0.75</v>
      </c>
      <c r="I4" s="99">
        <f t="shared" si="5"/>
        <v>0.10256410256410256</v>
      </c>
      <c r="K4" s="153">
        <v>1</v>
      </c>
      <c r="L4" s="10">
        <v>3</v>
      </c>
    </row>
    <row r="5" spans="1:12" x14ac:dyDescent="0.25">
      <c r="A5" s="96">
        <v>4</v>
      </c>
      <c r="B5" s="173" t="str">
        <f>'Roya historica'!C7</f>
        <v>despues_cosecha</v>
      </c>
      <c r="C5" s="174">
        <f>'Roya historica'!B7</f>
        <v>1</v>
      </c>
      <c r="D5" s="97">
        <f t="shared" si="0"/>
        <v>0</v>
      </c>
      <c r="E5" s="98">
        <f t="shared" si="1"/>
        <v>0</v>
      </c>
      <c r="F5" s="98">
        <f t="shared" si="2"/>
        <v>0</v>
      </c>
      <c r="G5" s="98">
        <f t="shared" si="3"/>
        <v>0</v>
      </c>
      <c r="H5" s="98">
        <f t="shared" si="4"/>
        <v>0</v>
      </c>
      <c r="I5" s="99">
        <f t="shared" si="5"/>
        <v>2.564102564102564E-2</v>
      </c>
      <c r="K5" s="153">
        <v>1</v>
      </c>
      <c r="L5" s="10">
        <v>4</v>
      </c>
    </row>
    <row r="6" spans="1:12" x14ac:dyDescent="0.25">
      <c r="A6" s="96">
        <v>5</v>
      </c>
      <c r="B6" s="173" t="str">
        <f>'Roya historica'!C8</f>
        <v>despues_cosecha</v>
      </c>
      <c r="C6" s="174">
        <f>'Roya historica'!B8</f>
        <v>1</v>
      </c>
      <c r="D6" s="97">
        <f t="shared" si="0"/>
        <v>3</v>
      </c>
      <c r="E6" s="98">
        <f t="shared" si="1"/>
        <v>3</v>
      </c>
      <c r="F6" s="98">
        <f t="shared" si="2"/>
        <v>0.95</v>
      </c>
      <c r="G6" s="98">
        <f t="shared" si="3"/>
        <v>0.95</v>
      </c>
      <c r="H6" s="98">
        <f t="shared" si="4"/>
        <v>0.95</v>
      </c>
      <c r="I6" s="99">
        <f t="shared" si="5"/>
        <v>2.564102564102564E-2</v>
      </c>
      <c r="K6" s="153">
        <v>1</v>
      </c>
      <c r="L6" s="10">
        <v>5</v>
      </c>
    </row>
    <row r="7" spans="1:12" x14ac:dyDescent="0.25">
      <c r="A7" s="96">
        <v>6</v>
      </c>
      <c r="B7" s="173" t="str">
        <f>'Roya historica'!C9</f>
        <v>despues_cosecha</v>
      </c>
      <c r="C7" s="174">
        <f>'Roya historica'!B9</f>
        <v>4</v>
      </c>
      <c r="D7" s="97">
        <f t="shared" si="0"/>
        <v>4</v>
      </c>
      <c r="E7" s="98">
        <f t="shared" si="1"/>
        <v>1</v>
      </c>
      <c r="F7" s="98">
        <f t="shared" si="2"/>
        <v>0.5</v>
      </c>
      <c r="G7" s="98">
        <f t="shared" si="3"/>
        <v>0.95</v>
      </c>
      <c r="H7" s="98">
        <f t="shared" si="4"/>
        <v>0.95</v>
      </c>
      <c r="I7" s="99">
        <f t="shared" si="5"/>
        <v>0.10256410256410256</v>
      </c>
      <c r="K7" s="153">
        <v>1</v>
      </c>
      <c r="L7" s="10">
        <v>6</v>
      </c>
    </row>
    <row r="8" spans="1:12" x14ac:dyDescent="0.25">
      <c r="A8" s="96">
        <v>7</v>
      </c>
      <c r="B8" s="173" t="str">
        <f>'Roya historica'!C10</f>
        <v>antes_cosecha</v>
      </c>
      <c r="C8" s="174">
        <f>'Roya historica'!B10</f>
        <v>8</v>
      </c>
      <c r="D8" s="97">
        <f t="shared" si="0"/>
        <v>7</v>
      </c>
      <c r="E8" s="98">
        <f t="shared" si="1"/>
        <v>0.875</v>
      </c>
      <c r="F8" s="98">
        <f t="shared" si="2"/>
        <v>0.4375</v>
      </c>
      <c r="G8" s="98">
        <f t="shared" si="3"/>
        <v>0.95</v>
      </c>
      <c r="H8" s="98">
        <f t="shared" si="4"/>
        <v>0.95</v>
      </c>
      <c r="I8" s="99">
        <f t="shared" si="5"/>
        <v>0.20512820512820512</v>
      </c>
      <c r="K8" s="153">
        <v>1</v>
      </c>
      <c r="L8" s="10">
        <v>7</v>
      </c>
    </row>
    <row r="9" spans="1:12" x14ac:dyDescent="0.25">
      <c r="A9" s="96">
        <v>8</v>
      </c>
      <c r="B9" s="173" t="str">
        <f>'Roya historica'!C11</f>
        <v>antes_cosecha</v>
      </c>
      <c r="C9" s="174">
        <f>'Roya historica'!B11</f>
        <v>15</v>
      </c>
      <c r="D9" s="97">
        <f t="shared" si="0"/>
        <v>10</v>
      </c>
      <c r="E9" s="98">
        <f t="shared" si="1"/>
        <v>0.66666666666666663</v>
      </c>
      <c r="F9" s="98">
        <f t="shared" si="2"/>
        <v>0.33333333333333331</v>
      </c>
      <c r="G9" s="98">
        <f t="shared" si="3"/>
        <v>0.79999999999999993</v>
      </c>
      <c r="H9" s="98">
        <f t="shared" si="4"/>
        <v>0.95</v>
      </c>
      <c r="I9" s="99">
        <f t="shared" si="5"/>
        <v>0.38461538461538464</v>
      </c>
      <c r="K9" s="153">
        <v>1</v>
      </c>
      <c r="L9" s="10">
        <v>8</v>
      </c>
    </row>
    <row r="10" spans="1:12" x14ac:dyDescent="0.25">
      <c r="A10" s="96">
        <v>9</v>
      </c>
      <c r="B10" s="173" t="str">
        <f>'Roya historica'!C12</f>
        <v>antes_cosecha</v>
      </c>
      <c r="C10" s="174">
        <f>'Roya historica'!B12</f>
        <v>25</v>
      </c>
      <c r="D10" s="97">
        <f t="shared" si="0"/>
        <v>10</v>
      </c>
      <c r="E10" s="98">
        <f t="shared" si="1"/>
        <v>0.4</v>
      </c>
      <c r="F10" s="98">
        <f t="shared" si="2"/>
        <v>0.2</v>
      </c>
      <c r="G10" s="98">
        <f t="shared" si="3"/>
        <v>0.48</v>
      </c>
      <c r="H10" s="98">
        <f t="shared" si="4"/>
        <v>0.64000000000000012</v>
      </c>
      <c r="I10" s="99">
        <f t="shared" si="5"/>
        <v>0.64102564102564108</v>
      </c>
      <c r="K10" s="153">
        <v>1</v>
      </c>
      <c r="L10" s="10">
        <v>9</v>
      </c>
    </row>
    <row r="11" spans="1:12" x14ac:dyDescent="0.25">
      <c r="A11" s="96">
        <v>10</v>
      </c>
      <c r="B11" s="173" t="str">
        <f>'Roya historica'!C13</f>
        <v>cosecha</v>
      </c>
      <c r="C11" s="174">
        <f>'Roya historica'!B13</f>
        <v>35</v>
      </c>
      <c r="D11" s="97">
        <f t="shared" si="0"/>
        <v>4</v>
      </c>
      <c r="E11" s="98">
        <f t="shared" si="1"/>
        <v>0.11428571428571428</v>
      </c>
      <c r="F11" s="98">
        <f t="shared" si="2"/>
        <v>5.7142857142857141E-2</v>
      </c>
      <c r="G11" s="98">
        <f t="shared" si="3"/>
        <v>0.13714285714285712</v>
      </c>
      <c r="H11" s="98">
        <f t="shared" si="4"/>
        <v>0.18285714285714286</v>
      </c>
      <c r="I11" s="99">
        <f t="shared" si="5"/>
        <v>0.89743589743589747</v>
      </c>
      <c r="K11" s="153">
        <v>1</v>
      </c>
      <c r="L11" s="10">
        <v>10</v>
      </c>
    </row>
    <row r="12" spans="1:12" x14ac:dyDescent="0.25">
      <c r="A12" s="96">
        <v>11</v>
      </c>
      <c r="B12" s="173" t="str">
        <f>'Roya historica'!C14</f>
        <v>cosecha</v>
      </c>
      <c r="C12" s="174">
        <f>'Roya historica'!B14</f>
        <v>39</v>
      </c>
      <c r="D12" s="97">
        <f t="shared" si="0"/>
        <v>-4</v>
      </c>
      <c r="E12" s="98">
        <f t="shared" si="1"/>
        <v>-0.10256410256410256</v>
      </c>
      <c r="F12" s="98">
        <f t="shared" si="2"/>
        <v>-0.10256410256410256</v>
      </c>
      <c r="G12" s="98">
        <f t="shared" si="3"/>
        <v>-0.10256410256410256</v>
      </c>
      <c r="H12" s="98">
        <f t="shared" si="4"/>
        <v>-0.10256410256410256</v>
      </c>
      <c r="I12" s="99">
        <f t="shared" si="5"/>
        <v>1</v>
      </c>
      <c r="K12" s="153">
        <v>1</v>
      </c>
      <c r="L12" s="10">
        <v>11</v>
      </c>
    </row>
    <row r="13" spans="1:12" x14ac:dyDescent="0.25">
      <c r="A13" s="96">
        <v>12</v>
      </c>
      <c r="B13" s="173" t="str">
        <f>'Roya historica'!C15</f>
        <v>cosecha</v>
      </c>
      <c r="C13" s="174">
        <f>'Roya historica'!B15</f>
        <v>35</v>
      </c>
      <c r="D13" s="97">
        <f>C2-C13</f>
        <v>-5</v>
      </c>
      <c r="E13" s="98">
        <f t="shared" si="1"/>
        <v>-0.14285714285714285</v>
      </c>
      <c r="F13" s="98">
        <f t="shared" si="2"/>
        <v>-0.14285714285714285</v>
      </c>
      <c r="G13" s="98">
        <f t="shared" si="3"/>
        <v>-0.14285714285714285</v>
      </c>
      <c r="H13" s="98">
        <f t="shared" si="4"/>
        <v>-0.14285714285714285</v>
      </c>
      <c r="I13" s="99">
        <f t="shared" si="5"/>
        <v>0.89743589743589747</v>
      </c>
      <c r="K13" s="153">
        <v>1</v>
      </c>
      <c r="L13" s="10">
        <v>12</v>
      </c>
    </row>
    <row r="15" spans="1:12" x14ac:dyDescent="0.25">
      <c r="L15" s="100" t="s">
        <v>0</v>
      </c>
    </row>
    <row r="16" spans="1:12" x14ac:dyDescent="0.25">
      <c r="A16" s="101" t="s">
        <v>5</v>
      </c>
      <c r="B16" s="101"/>
      <c r="C16" s="101"/>
      <c r="D16" s="101"/>
      <c r="E16" s="101"/>
      <c r="F16" s="101"/>
      <c r="G16" s="101"/>
      <c r="H16" s="101"/>
      <c r="L16" s="10">
        <v>1</v>
      </c>
    </row>
    <row r="17" spans="1:12" x14ac:dyDescent="0.25">
      <c r="A17" s="100" t="s">
        <v>0</v>
      </c>
      <c r="B17" s="100"/>
      <c r="C17" s="100" t="s">
        <v>1</v>
      </c>
      <c r="D17" s="100"/>
      <c r="E17" s="100"/>
      <c r="F17" s="100"/>
      <c r="G17" s="100"/>
      <c r="H17" s="100"/>
      <c r="K17" s="9" t="s">
        <v>10</v>
      </c>
      <c r="L17" s="10">
        <v>2</v>
      </c>
    </row>
    <row r="18" spans="1:12" x14ac:dyDescent="0.25">
      <c r="A18" s="10">
        <v>1</v>
      </c>
      <c r="B18" s="10"/>
      <c r="C18" s="102">
        <f>I2</f>
        <v>0.76923076923076927</v>
      </c>
      <c r="D18" s="102"/>
      <c r="E18" s="102"/>
      <c r="F18" s="102"/>
      <c r="G18" s="102"/>
      <c r="H18" s="102"/>
      <c r="K18" s="9" t="str">
        <f t="shared" ref="K18:K23" si="6">TEXT(C18*100,0)</f>
        <v>77</v>
      </c>
      <c r="L18" s="10">
        <v>3</v>
      </c>
    </row>
    <row r="19" spans="1:12" x14ac:dyDescent="0.25">
      <c r="A19" s="10">
        <v>2</v>
      </c>
      <c r="B19" s="10"/>
      <c r="C19" s="102">
        <f t="shared" ref="C19:C29" si="7">I3</f>
        <v>0.30769230769230771</v>
      </c>
      <c r="D19" s="102"/>
      <c r="E19" s="102"/>
      <c r="F19" s="102"/>
      <c r="G19" s="102"/>
      <c r="H19" s="102"/>
      <c r="K19" s="9" t="str">
        <f t="shared" si="6"/>
        <v>31</v>
      </c>
      <c r="L19" s="10">
        <v>4</v>
      </c>
    </row>
    <row r="20" spans="1:12" x14ac:dyDescent="0.25">
      <c r="A20" s="10">
        <v>3</v>
      </c>
      <c r="B20" s="10"/>
      <c r="C20" s="102">
        <f t="shared" si="7"/>
        <v>0.10256410256410256</v>
      </c>
      <c r="D20" s="102"/>
      <c r="E20" s="102"/>
      <c r="F20" s="102"/>
      <c r="G20" s="102"/>
      <c r="H20" s="102"/>
      <c r="K20" s="9" t="str">
        <f t="shared" si="6"/>
        <v>10</v>
      </c>
      <c r="L20" s="10">
        <v>5</v>
      </c>
    </row>
    <row r="21" spans="1:12" x14ac:dyDescent="0.25">
      <c r="A21" s="10">
        <v>4</v>
      </c>
      <c r="B21" s="10"/>
      <c r="C21" s="102">
        <f t="shared" si="7"/>
        <v>2.564102564102564E-2</v>
      </c>
      <c r="D21" s="102"/>
      <c r="E21" s="102"/>
      <c r="F21" s="102"/>
      <c r="G21" s="102"/>
      <c r="H21" s="102"/>
      <c r="K21" s="9" t="str">
        <f t="shared" si="6"/>
        <v>3</v>
      </c>
      <c r="L21" s="10">
        <v>6</v>
      </c>
    </row>
    <row r="22" spans="1:12" x14ac:dyDescent="0.25">
      <c r="A22" s="10">
        <v>5</v>
      </c>
      <c r="B22" s="10"/>
      <c r="C22" s="102">
        <f t="shared" si="7"/>
        <v>2.564102564102564E-2</v>
      </c>
      <c r="D22" s="102"/>
      <c r="E22" s="102"/>
      <c r="F22" s="102"/>
      <c r="G22" s="102"/>
      <c r="H22" s="102"/>
      <c r="K22" s="9" t="str">
        <f t="shared" si="6"/>
        <v>3</v>
      </c>
      <c r="L22" s="10">
        <v>7</v>
      </c>
    </row>
    <row r="23" spans="1:12" x14ac:dyDescent="0.25">
      <c r="A23" s="10">
        <v>6</v>
      </c>
      <c r="B23" s="10"/>
      <c r="C23" s="102">
        <f t="shared" si="7"/>
        <v>0.10256410256410256</v>
      </c>
      <c r="D23" s="102"/>
      <c r="E23" s="102"/>
      <c r="F23" s="102"/>
      <c r="G23" s="102"/>
      <c r="H23" s="102"/>
      <c r="K23" s="9" t="str">
        <f t="shared" si="6"/>
        <v>10</v>
      </c>
      <c r="L23" s="10">
        <v>8</v>
      </c>
    </row>
    <row r="24" spans="1:12" x14ac:dyDescent="0.25">
      <c r="A24" s="10">
        <v>7</v>
      </c>
      <c r="B24" s="10"/>
      <c r="C24" s="102">
        <f t="shared" si="7"/>
        <v>0.20512820512820512</v>
      </c>
      <c r="D24" s="102"/>
      <c r="E24" s="102"/>
      <c r="F24" s="102"/>
      <c r="G24" s="102"/>
      <c r="H24" s="102"/>
      <c r="K24" s="9" t="str">
        <f>TEXT(C24*100,0)</f>
        <v>21</v>
      </c>
      <c r="L24" s="10">
        <v>9</v>
      </c>
    </row>
    <row r="25" spans="1:12" x14ac:dyDescent="0.25">
      <c r="A25" s="10">
        <v>8</v>
      </c>
      <c r="B25" s="10"/>
      <c r="C25" s="102">
        <f t="shared" si="7"/>
        <v>0.38461538461538464</v>
      </c>
      <c r="D25" s="102"/>
      <c r="E25" s="102"/>
      <c r="F25" s="102"/>
      <c r="G25" s="102"/>
      <c r="H25" s="102"/>
      <c r="K25" s="9" t="str">
        <f t="shared" ref="K25:K29" si="8">TEXT(C25*100,0)</f>
        <v>38</v>
      </c>
      <c r="L25" s="10">
        <v>10</v>
      </c>
    </row>
    <row r="26" spans="1:12" x14ac:dyDescent="0.25">
      <c r="A26" s="10">
        <v>9</v>
      </c>
      <c r="B26" s="10"/>
      <c r="C26" s="102">
        <f t="shared" si="7"/>
        <v>0.64102564102564108</v>
      </c>
      <c r="D26" s="102"/>
      <c r="E26" s="102"/>
      <c r="F26" s="102"/>
      <c r="G26" s="102"/>
      <c r="H26" s="102"/>
      <c r="K26" s="9" t="str">
        <f t="shared" si="8"/>
        <v>64</v>
      </c>
      <c r="L26" s="10">
        <v>11</v>
      </c>
    </row>
    <row r="27" spans="1:12" x14ac:dyDescent="0.25">
      <c r="A27" s="10">
        <v>10</v>
      </c>
      <c r="B27" s="10"/>
      <c r="C27" s="102">
        <f t="shared" si="7"/>
        <v>0.89743589743589747</v>
      </c>
      <c r="D27" s="102"/>
      <c r="E27" s="102"/>
      <c r="F27" s="102"/>
      <c r="G27" s="102"/>
      <c r="H27" s="102"/>
      <c r="K27" s="9" t="str">
        <f t="shared" si="8"/>
        <v>90</v>
      </c>
      <c r="L27" s="10">
        <v>12</v>
      </c>
    </row>
    <row r="28" spans="1:12" x14ac:dyDescent="0.25">
      <c r="A28" s="10">
        <v>11</v>
      </c>
      <c r="B28" s="10"/>
      <c r="C28" s="102">
        <f t="shared" si="7"/>
        <v>1</v>
      </c>
      <c r="D28" s="102"/>
      <c r="E28" s="102"/>
      <c r="F28" s="102"/>
      <c r="G28" s="102"/>
      <c r="H28" s="102"/>
      <c r="K28" s="9" t="str">
        <f t="shared" si="8"/>
        <v>100</v>
      </c>
    </row>
    <row r="29" spans="1:12" x14ac:dyDescent="0.25">
      <c r="A29" s="10">
        <v>12</v>
      </c>
      <c r="B29" s="10"/>
      <c r="C29" s="102">
        <f t="shared" si="7"/>
        <v>0.89743589743589747</v>
      </c>
      <c r="D29" s="102"/>
      <c r="E29" s="102"/>
      <c r="F29" s="102"/>
      <c r="G29" s="102"/>
      <c r="H29" s="102"/>
      <c r="K29" s="9" t="str">
        <f t="shared" si="8"/>
        <v>90</v>
      </c>
    </row>
    <row r="31" spans="1:12" x14ac:dyDescent="0.25">
      <c r="E31" s="103" t="s">
        <v>27</v>
      </c>
      <c r="F31" s="10">
        <v>0.5</v>
      </c>
      <c r="G31" s="129">
        <v>1.2</v>
      </c>
      <c r="H31" s="10">
        <v>1.6</v>
      </c>
      <c r="L31" s="95"/>
    </row>
    <row r="32" spans="1:12" hidden="1" x14ac:dyDescent="0.25">
      <c r="B32" s="101">
        <f>SUMIF(B2:B13,"cosecha",K2:K13)</f>
        <v>3</v>
      </c>
      <c r="C32" s="101">
        <f>MAX(C2:C13)</f>
        <v>39</v>
      </c>
      <c r="L32" s="95"/>
    </row>
    <row r="33" spans="1:12" ht="18.75" hidden="1" x14ac:dyDescent="0.3">
      <c r="A33" s="104" t="s">
        <v>17</v>
      </c>
      <c r="B33" s="104"/>
      <c r="I33" s="94"/>
      <c r="J33" s="95"/>
      <c r="K33" s="95"/>
      <c r="L33" s="95"/>
    </row>
    <row r="34" spans="1:12" hidden="1" x14ac:dyDescent="0.25">
      <c r="A34" s="105" t="s">
        <v>6</v>
      </c>
      <c r="B34" s="106" t="s">
        <v>14</v>
      </c>
      <c r="C34" s="107" t="s">
        <v>6</v>
      </c>
      <c r="D34" s="108" t="s">
        <v>15</v>
      </c>
      <c r="E34" s="109" t="s">
        <v>6</v>
      </c>
      <c r="F34" s="110" t="s">
        <v>16</v>
      </c>
      <c r="G34" s="111" t="s">
        <v>6</v>
      </c>
      <c r="H34" s="112" t="s">
        <v>65</v>
      </c>
      <c r="I34" s="99"/>
      <c r="J34" s="95"/>
      <c r="K34" s="95"/>
    </row>
    <row r="35" spans="1:12" hidden="1" x14ac:dyDescent="0.25">
      <c r="A35" s="19">
        <v>1</v>
      </c>
      <c r="B35" s="113">
        <f t="shared" ref="B35:B46" si="9">E2</f>
        <v>-0.6</v>
      </c>
      <c r="C35" s="114">
        <v>1</v>
      </c>
      <c r="D35" s="115">
        <f t="shared" ref="D35:D46" si="10">G2</f>
        <v>-0.6</v>
      </c>
      <c r="E35" s="116">
        <v>1</v>
      </c>
      <c r="F35" s="117">
        <f t="shared" ref="F35:F46" si="11">F2</f>
        <v>-0.6</v>
      </c>
      <c r="G35" s="23">
        <f>A2</f>
        <v>1</v>
      </c>
      <c r="H35" s="118">
        <f>H2</f>
        <v>-0.6</v>
      </c>
      <c r="I35" s="99"/>
      <c r="J35" s="95"/>
      <c r="K35" s="95"/>
    </row>
    <row r="36" spans="1:12" hidden="1" x14ac:dyDescent="0.25">
      <c r="A36" s="19">
        <v>2</v>
      </c>
      <c r="B36" s="113">
        <f t="shared" si="9"/>
        <v>-0.66666666666666663</v>
      </c>
      <c r="C36" s="114">
        <v>2</v>
      </c>
      <c r="D36" s="115">
        <f t="shared" si="10"/>
        <v>-0.66666666666666663</v>
      </c>
      <c r="E36" s="116">
        <v>2</v>
      </c>
      <c r="F36" s="117">
        <f t="shared" si="11"/>
        <v>-0.66666666666666663</v>
      </c>
      <c r="G36" s="23">
        <f t="shared" ref="G36:G46" si="12">A3</f>
        <v>2</v>
      </c>
      <c r="H36" s="118">
        <f t="shared" ref="H36:H46" si="13">H3</f>
        <v>-0.66666666666666663</v>
      </c>
      <c r="I36" s="99"/>
    </row>
    <row r="37" spans="1:12" hidden="1" x14ac:dyDescent="0.25">
      <c r="A37" s="19">
        <v>3</v>
      </c>
      <c r="B37" s="113">
        <f t="shared" si="9"/>
        <v>-0.75</v>
      </c>
      <c r="C37" s="114">
        <v>3</v>
      </c>
      <c r="D37" s="115">
        <f t="shared" si="10"/>
        <v>-0.75</v>
      </c>
      <c r="E37" s="116">
        <v>3</v>
      </c>
      <c r="F37" s="117">
        <f t="shared" si="11"/>
        <v>-0.75</v>
      </c>
      <c r="G37" s="23">
        <f t="shared" si="12"/>
        <v>3</v>
      </c>
      <c r="H37" s="118">
        <f t="shared" si="13"/>
        <v>-0.75</v>
      </c>
      <c r="I37" s="99"/>
    </row>
    <row r="38" spans="1:12" hidden="1" x14ac:dyDescent="0.25">
      <c r="A38" s="19">
        <v>4</v>
      </c>
      <c r="B38" s="113">
        <f t="shared" si="9"/>
        <v>0</v>
      </c>
      <c r="C38" s="114">
        <v>4</v>
      </c>
      <c r="D38" s="115">
        <f t="shared" si="10"/>
        <v>0</v>
      </c>
      <c r="E38" s="116">
        <v>4</v>
      </c>
      <c r="F38" s="117">
        <f t="shared" si="11"/>
        <v>0</v>
      </c>
      <c r="G38" s="23">
        <f t="shared" si="12"/>
        <v>4</v>
      </c>
      <c r="H38" s="118">
        <f t="shared" si="13"/>
        <v>0</v>
      </c>
      <c r="I38" s="99"/>
    </row>
    <row r="39" spans="1:12" hidden="1" x14ac:dyDescent="0.25">
      <c r="A39" s="19">
        <v>5</v>
      </c>
      <c r="B39" s="113">
        <f t="shared" si="9"/>
        <v>3</v>
      </c>
      <c r="C39" s="114">
        <v>5</v>
      </c>
      <c r="D39" s="115">
        <f t="shared" si="10"/>
        <v>0.95</v>
      </c>
      <c r="E39" s="116">
        <v>5</v>
      </c>
      <c r="F39" s="117">
        <f t="shared" si="11"/>
        <v>0.95</v>
      </c>
      <c r="G39" s="23">
        <f t="shared" si="12"/>
        <v>5</v>
      </c>
      <c r="H39" s="118">
        <f t="shared" si="13"/>
        <v>0.95</v>
      </c>
      <c r="I39" s="99"/>
    </row>
    <row r="40" spans="1:12" hidden="1" x14ac:dyDescent="0.25">
      <c r="A40" s="19">
        <v>6</v>
      </c>
      <c r="B40" s="113">
        <f t="shared" si="9"/>
        <v>1</v>
      </c>
      <c r="C40" s="114">
        <v>6</v>
      </c>
      <c r="D40" s="115">
        <f t="shared" si="10"/>
        <v>0.95</v>
      </c>
      <c r="E40" s="116">
        <v>6</v>
      </c>
      <c r="F40" s="117">
        <f t="shared" si="11"/>
        <v>0.5</v>
      </c>
      <c r="G40" s="23">
        <f t="shared" si="12"/>
        <v>6</v>
      </c>
      <c r="H40" s="118">
        <f t="shared" si="13"/>
        <v>0.95</v>
      </c>
      <c r="I40" s="99"/>
    </row>
    <row r="41" spans="1:12" hidden="1" x14ac:dyDescent="0.25">
      <c r="A41" s="19">
        <v>7</v>
      </c>
      <c r="B41" s="113">
        <f t="shared" si="9"/>
        <v>0.875</v>
      </c>
      <c r="C41" s="114">
        <v>7</v>
      </c>
      <c r="D41" s="115">
        <f t="shared" si="10"/>
        <v>0.95</v>
      </c>
      <c r="E41" s="116">
        <v>7</v>
      </c>
      <c r="F41" s="117">
        <f t="shared" si="11"/>
        <v>0.4375</v>
      </c>
      <c r="G41" s="23">
        <f t="shared" si="12"/>
        <v>7</v>
      </c>
      <c r="H41" s="118">
        <f t="shared" si="13"/>
        <v>0.95</v>
      </c>
      <c r="I41" s="99"/>
    </row>
    <row r="42" spans="1:12" hidden="1" x14ac:dyDescent="0.25">
      <c r="A42" s="19">
        <v>8</v>
      </c>
      <c r="B42" s="113">
        <f t="shared" si="9"/>
        <v>0.66666666666666663</v>
      </c>
      <c r="C42" s="114">
        <v>8</v>
      </c>
      <c r="D42" s="115">
        <f t="shared" si="10"/>
        <v>0.79999999999999993</v>
      </c>
      <c r="E42" s="116">
        <v>8</v>
      </c>
      <c r="F42" s="117">
        <f t="shared" si="11"/>
        <v>0.33333333333333331</v>
      </c>
      <c r="G42" s="23">
        <f t="shared" si="12"/>
        <v>8</v>
      </c>
      <c r="H42" s="118">
        <f t="shared" si="13"/>
        <v>0.95</v>
      </c>
      <c r="I42" s="99"/>
    </row>
    <row r="43" spans="1:12" hidden="1" x14ac:dyDescent="0.25">
      <c r="A43" s="19">
        <v>9</v>
      </c>
      <c r="B43" s="113">
        <f t="shared" si="9"/>
        <v>0.4</v>
      </c>
      <c r="C43" s="114">
        <v>9</v>
      </c>
      <c r="D43" s="115">
        <f t="shared" si="10"/>
        <v>0.48</v>
      </c>
      <c r="E43" s="116">
        <v>9</v>
      </c>
      <c r="F43" s="117">
        <f t="shared" si="11"/>
        <v>0.2</v>
      </c>
      <c r="G43" s="23">
        <f t="shared" si="12"/>
        <v>9</v>
      </c>
      <c r="H43" s="118">
        <f t="shared" si="13"/>
        <v>0.64000000000000012</v>
      </c>
      <c r="I43" s="99"/>
    </row>
    <row r="44" spans="1:12" hidden="1" x14ac:dyDescent="0.25">
      <c r="A44" s="19">
        <v>10</v>
      </c>
      <c r="B44" s="113">
        <f t="shared" si="9"/>
        <v>0.11428571428571428</v>
      </c>
      <c r="C44" s="114">
        <v>10</v>
      </c>
      <c r="D44" s="115">
        <f t="shared" si="10"/>
        <v>0.13714285714285712</v>
      </c>
      <c r="E44" s="116">
        <v>10</v>
      </c>
      <c r="F44" s="117">
        <f t="shared" si="11"/>
        <v>5.7142857142857141E-2</v>
      </c>
      <c r="G44" s="23">
        <f t="shared" si="12"/>
        <v>10</v>
      </c>
      <c r="H44" s="118">
        <f t="shared" si="13"/>
        <v>0.18285714285714286</v>
      </c>
      <c r="I44" s="99"/>
    </row>
    <row r="45" spans="1:12" hidden="1" x14ac:dyDescent="0.25">
      <c r="A45" s="19">
        <v>11</v>
      </c>
      <c r="B45" s="113">
        <f t="shared" si="9"/>
        <v>-0.10256410256410256</v>
      </c>
      <c r="C45" s="114">
        <v>11</v>
      </c>
      <c r="D45" s="115">
        <f t="shared" si="10"/>
        <v>-0.10256410256410256</v>
      </c>
      <c r="E45" s="116">
        <v>11</v>
      </c>
      <c r="F45" s="117">
        <f t="shared" si="11"/>
        <v>-0.10256410256410256</v>
      </c>
      <c r="G45" s="23">
        <f t="shared" si="12"/>
        <v>11</v>
      </c>
      <c r="H45" s="118">
        <f t="shared" si="13"/>
        <v>-0.10256410256410256</v>
      </c>
      <c r="I45" s="99"/>
    </row>
    <row r="46" spans="1:12" hidden="1" x14ac:dyDescent="0.25">
      <c r="A46" s="19">
        <v>12</v>
      </c>
      <c r="B46" s="113">
        <f t="shared" si="9"/>
        <v>-0.14285714285714285</v>
      </c>
      <c r="C46" s="114">
        <v>12</v>
      </c>
      <c r="D46" s="115">
        <f t="shared" si="10"/>
        <v>-0.14285714285714285</v>
      </c>
      <c r="E46" s="116">
        <v>12</v>
      </c>
      <c r="F46" s="117">
        <f t="shared" si="11"/>
        <v>-0.14285714285714285</v>
      </c>
      <c r="G46" s="23">
        <f t="shared" si="12"/>
        <v>12</v>
      </c>
      <c r="H46" s="118">
        <f t="shared" si="13"/>
        <v>-0.14285714285714285</v>
      </c>
    </row>
    <row r="47" spans="1:12" hidden="1" x14ac:dyDescent="0.25"/>
    <row r="48" spans="1:12" hidden="1" x14ac:dyDescent="0.25">
      <c r="A48" s="9" t="s">
        <v>56</v>
      </c>
    </row>
    <row r="49" spans="1:7" hidden="1" x14ac:dyDescent="0.25">
      <c r="A49" s="9" t="s">
        <v>50</v>
      </c>
    </row>
    <row r="50" spans="1:7" hidden="1" x14ac:dyDescent="0.25">
      <c r="A50" s="10" t="s">
        <v>97</v>
      </c>
      <c r="B50" s="10"/>
      <c r="C50" s="10"/>
    </row>
    <row r="51" spans="1:7" hidden="1" x14ac:dyDescent="0.25"/>
    <row r="52" spans="1:7" hidden="1" x14ac:dyDescent="0.25">
      <c r="A52" s="105" t="s">
        <v>6</v>
      </c>
      <c r="B52" s="106" t="s">
        <v>14</v>
      </c>
      <c r="C52" s="108" t="s">
        <v>15</v>
      </c>
      <c r="D52" s="110" t="s">
        <v>16</v>
      </c>
      <c r="E52" s="112" t="s">
        <v>65</v>
      </c>
      <c r="G52" s="120"/>
    </row>
    <row r="53" spans="1:7" hidden="1" x14ac:dyDescent="0.25">
      <c r="A53" s="19">
        <v>1</v>
      </c>
      <c r="B53" s="113">
        <v>-9.6045197740112956E-2</v>
      </c>
      <c r="C53" s="115">
        <v>-0.14408220483065251</v>
      </c>
      <c r="D53" s="117">
        <v>-6.4030131826741971E-2</v>
      </c>
      <c r="E53" s="118">
        <v>-0.19209039548022591</v>
      </c>
      <c r="G53" s="121"/>
    </row>
    <row r="54" spans="1:7" hidden="1" x14ac:dyDescent="0.25">
      <c r="A54" s="19">
        <v>2</v>
      </c>
      <c r="B54" s="113">
        <v>-0.4</v>
      </c>
      <c r="C54" s="115">
        <v>-0.60006000600060017</v>
      </c>
      <c r="D54" s="117">
        <v>-0.26666666666666666</v>
      </c>
      <c r="E54" s="118">
        <v>-0.8</v>
      </c>
      <c r="G54" s="121"/>
    </row>
    <row r="55" spans="1:7" hidden="1" x14ac:dyDescent="0.25">
      <c r="A55" s="19">
        <v>3</v>
      </c>
      <c r="B55" s="113">
        <v>-0.47916666666666663</v>
      </c>
      <c r="C55" s="115">
        <v>-0.71882188218821885</v>
      </c>
      <c r="D55" s="117">
        <v>-0.31944444444444442</v>
      </c>
      <c r="E55" s="118">
        <v>-0.95</v>
      </c>
      <c r="G55" s="121"/>
    </row>
    <row r="56" spans="1:7" hidden="1" x14ac:dyDescent="0.25">
      <c r="A56" s="19">
        <v>4</v>
      </c>
      <c r="B56" s="113">
        <v>-0.1</v>
      </c>
      <c r="C56" s="115">
        <v>-0.15001500150015004</v>
      </c>
      <c r="D56" s="117">
        <v>-6.6666666666666666E-2</v>
      </c>
      <c r="E56" s="118">
        <v>-0.2</v>
      </c>
      <c r="G56" s="121"/>
    </row>
    <row r="57" spans="1:7" hidden="1" x14ac:dyDescent="0.25">
      <c r="A57" s="19">
        <v>5</v>
      </c>
      <c r="B57" s="113">
        <v>0.13333333333333325</v>
      </c>
      <c r="C57" s="115">
        <v>0.2000200020001999</v>
      </c>
      <c r="D57" s="117">
        <v>8.8888888888888837E-2</v>
      </c>
      <c r="E57" s="118">
        <v>0.2666666666666665</v>
      </c>
      <c r="G57" s="121"/>
    </row>
    <row r="58" spans="1:7" hidden="1" x14ac:dyDescent="0.25">
      <c r="A58" s="19">
        <v>6</v>
      </c>
      <c r="B58" s="113">
        <v>-0.13725490196078419</v>
      </c>
      <c r="C58" s="115">
        <v>-0.20590294323549985</v>
      </c>
      <c r="D58" s="117">
        <v>-9.150326797385612E-2</v>
      </c>
      <c r="E58" s="118">
        <v>-0.27450980392156837</v>
      </c>
      <c r="G58" s="121"/>
    </row>
    <row r="59" spans="1:7" hidden="1" x14ac:dyDescent="0.25">
      <c r="A59" s="19">
        <v>7</v>
      </c>
      <c r="B59" s="113">
        <v>0.22727272727272727</v>
      </c>
      <c r="C59" s="115">
        <v>0.34094318522761369</v>
      </c>
      <c r="D59" s="117">
        <v>0.15151515151515152</v>
      </c>
      <c r="E59" s="118">
        <v>0.45454545454545453</v>
      </c>
      <c r="G59" s="121"/>
    </row>
    <row r="60" spans="1:7" hidden="1" x14ac:dyDescent="0.25">
      <c r="A60" s="19">
        <v>8</v>
      </c>
      <c r="B60" s="113">
        <v>0.20370370370370364</v>
      </c>
      <c r="C60" s="115">
        <v>0.30558611416697218</v>
      </c>
      <c r="D60" s="117">
        <v>0.13580246913580243</v>
      </c>
      <c r="E60" s="118">
        <v>0.40740740740740727</v>
      </c>
      <c r="G60" s="121"/>
    </row>
    <row r="61" spans="1:7" hidden="1" x14ac:dyDescent="0.25">
      <c r="A61" s="19">
        <v>9</v>
      </c>
      <c r="B61" s="113">
        <v>0.12307692307692306</v>
      </c>
      <c r="C61" s="115">
        <v>0.18463384800018462</v>
      </c>
      <c r="D61" s="117">
        <v>8.2051282051282037E-2</v>
      </c>
      <c r="E61" s="118">
        <v>0.24615384615384611</v>
      </c>
      <c r="G61" s="121"/>
    </row>
    <row r="62" spans="1:7" hidden="1" x14ac:dyDescent="0.25">
      <c r="A62" s="19">
        <v>10</v>
      </c>
      <c r="B62" s="113">
        <v>0.49315068493150693</v>
      </c>
      <c r="C62" s="115">
        <v>0.73980000739800023</v>
      </c>
      <c r="D62" s="117">
        <v>0.32876712328767127</v>
      </c>
      <c r="E62" s="118">
        <v>0.95</v>
      </c>
      <c r="G62" s="121"/>
    </row>
    <row r="63" spans="1:7" hidden="1" x14ac:dyDescent="0.25">
      <c r="A63" s="19">
        <v>11</v>
      </c>
      <c r="B63" s="113">
        <v>0.17431192660550462</v>
      </c>
      <c r="C63" s="115">
        <v>0.26149403931218818</v>
      </c>
      <c r="D63" s="117">
        <v>0.11620795107033642</v>
      </c>
      <c r="E63" s="118">
        <v>0.34862385321100925</v>
      </c>
      <c r="G63" s="121"/>
    </row>
    <row r="64" spans="1:7" hidden="1" x14ac:dyDescent="0.25">
      <c r="A64" s="19">
        <v>12</v>
      </c>
      <c r="B64" s="113">
        <v>0.38281249999999989</v>
      </c>
      <c r="C64" s="115">
        <v>0.57427617761776162</v>
      </c>
      <c r="D64" s="117">
        <v>0.25520833333333326</v>
      </c>
      <c r="E64" s="118">
        <v>0.76562499999999978</v>
      </c>
      <c r="G64" s="121"/>
    </row>
    <row r="65" spans="1:4" hidden="1" x14ac:dyDescent="0.25"/>
    <row r="66" spans="1:4" hidden="1" x14ac:dyDescent="0.25"/>
    <row r="67" spans="1:4" hidden="1" x14ac:dyDescent="0.25"/>
    <row r="72" spans="1:4" x14ac:dyDescent="0.25">
      <c r="A72" s="10">
        <v>0.69</v>
      </c>
      <c r="B72" s="247">
        <f>A72/$A$74</f>
        <v>1.6428571428571428</v>
      </c>
      <c r="C72" s="10" t="s">
        <v>96</v>
      </c>
      <c r="D72" s="10" t="s">
        <v>214</v>
      </c>
    </row>
    <row r="73" spans="1:4" x14ac:dyDescent="0.25">
      <c r="A73" s="246">
        <v>0.5</v>
      </c>
      <c r="B73" s="247">
        <f>A73/$A$74</f>
        <v>1.1904761904761905</v>
      </c>
      <c r="C73" s="246" t="s">
        <v>205</v>
      </c>
      <c r="D73" s="10" t="s">
        <v>218</v>
      </c>
    </row>
    <row r="74" spans="1:4" x14ac:dyDescent="0.25">
      <c r="A74" s="246">
        <v>0.42</v>
      </c>
      <c r="B74" s="247">
        <f>A74/$A$74</f>
        <v>1</v>
      </c>
      <c r="C74" s="246" t="s">
        <v>206</v>
      </c>
      <c r="D74" s="10" t="s">
        <v>215</v>
      </c>
    </row>
    <row r="75" spans="1:4" x14ac:dyDescent="0.25">
      <c r="A75" s="246">
        <v>0.23</v>
      </c>
      <c r="B75" s="247">
        <f>A75/$A$74</f>
        <v>0.54761904761904767</v>
      </c>
      <c r="C75" s="246" t="s">
        <v>204</v>
      </c>
      <c r="D75" s="10" t="s">
        <v>216</v>
      </c>
    </row>
    <row r="76" spans="1:4" x14ac:dyDescent="0.25">
      <c r="A76" s="246">
        <v>-0.95</v>
      </c>
      <c r="B76" s="247">
        <f>A76/$A$74</f>
        <v>-2.2619047619047619</v>
      </c>
      <c r="C76" s="246"/>
      <c r="D76" s="10" t="s">
        <v>217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workbookViewId="0">
      <selection activeCell="B57" sqref="B57"/>
    </sheetView>
  </sheetViews>
  <sheetFormatPr baseColWidth="10" defaultRowHeight="15" x14ac:dyDescent="0.25"/>
  <cols>
    <col min="1" max="1" width="48.28515625" style="9" customWidth="1"/>
    <col min="2" max="2" width="20.7109375" style="9" customWidth="1"/>
    <col min="3" max="3" width="26.28515625" style="9" customWidth="1"/>
    <col min="4" max="4" width="31.28515625" style="9" customWidth="1"/>
    <col min="5" max="5" width="17" style="9" customWidth="1"/>
    <col min="6" max="6" width="17.28515625" style="9" hidden="1" customWidth="1"/>
    <col min="7" max="7" width="21.7109375" style="9" customWidth="1"/>
    <col min="8" max="8" width="21.85546875" style="9" customWidth="1"/>
    <col min="9" max="9" width="21.7109375" style="9" customWidth="1"/>
    <col min="10" max="10" width="17.42578125" style="9" customWidth="1"/>
    <col min="11" max="11" width="15.28515625" style="9" customWidth="1"/>
    <col min="12" max="16384" width="11.42578125" style="9"/>
  </cols>
  <sheetData>
    <row r="3" spans="1:8" x14ac:dyDescent="0.25">
      <c r="A3" s="6" t="s">
        <v>6</v>
      </c>
      <c r="B3" s="6" t="s">
        <v>23</v>
      </c>
      <c r="C3" s="7" t="s">
        <v>19</v>
      </c>
      <c r="D3" s="8" t="s">
        <v>22</v>
      </c>
      <c r="E3" s="15" t="s">
        <v>94</v>
      </c>
      <c r="F3" s="10" t="s">
        <v>26</v>
      </c>
      <c r="G3" s="121"/>
      <c r="H3" s="121"/>
    </row>
    <row r="4" spans="1:8" x14ac:dyDescent="0.25">
      <c r="A4" s="11">
        <v>1</v>
      </c>
      <c r="B4" s="12">
        <f ca="1">IF(A4=Economico!$B$34,Economico!$B$35,D15)</f>
        <v>44.304222857142861</v>
      </c>
      <c r="C4" s="11" t="s">
        <v>18</v>
      </c>
      <c r="D4" s="13">
        <f ca="1">MIN(100,VLOOKUP(A4,INDIRECT(C4),2,FALSE)*B4+B4)</f>
        <v>17.721689142857144</v>
      </c>
    </row>
    <row r="5" spans="1:8" x14ac:dyDescent="0.25">
      <c r="A5" s="11">
        <v>2</v>
      </c>
      <c r="B5" s="12">
        <f ca="1">IF(A5=Economico!$B$34,Economico!$B$35,D4)</f>
        <v>17.721689142857144</v>
      </c>
      <c r="C5" s="11" t="s">
        <v>18</v>
      </c>
      <c r="D5" s="13">
        <f t="shared" ref="D5:D15" ca="1" si="0">MIN(100,VLOOKUP(A5,INDIRECT(C5),2,FALSE)*B5+B5)</f>
        <v>5.907229714285716</v>
      </c>
    </row>
    <row r="6" spans="1:8" x14ac:dyDescent="0.25">
      <c r="A6" s="11">
        <v>3</v>
      </c>
      <c r="B6" s="12">
        <f ca="1">IF(A6=Economico!$B$34,Economico!$B$35,D5)</f>
        <v>5.907229714285716</v>
      </c>
      <c r="C6" s="11" t="s">
        <v>18</v>
      </c>
      <c r="D6" s="13">
        <f t="shared" ca="1" si="0"/>
        <v>1.476807428571429</v>
      </c>
    </row>
    <row r="7" spans="1:8" x14ac:dyDescent="0.25">
      <c r="A7" s="11">
        <v>4</v>
      </c>
      <c r="B7" s="12">
        <f ca="1">IF(A7=Economico!$B$34,Economico!$B$35,D6)</f>
        <v>1.476807428571429</v>
      </c>
      <c r="C7" s="11" t="s">
        <v>18</v>
      </c>
      <c r="D7" s="13">
        <f t="shared" ca="1" si="0"/>
        <v>1.476807428571429</v>
      </c>
      <c r="F7" s="14"/>
    </row>
    <row r="8" spans="1:8" x14ac:dyDescent="0.25">
      <c r="A8" s="11">
        <v>5</v>
      </c>
      <c r="B8" s="12">
        <f ca="1">IF(A8=Economico!$B$34,Economico!$B$35,D7)</f>
        <v>1.476807428571429</v>
      </c>
      <c r="C8" s="11" t="s">
        <v>18</v>
      </c>
      <c r="D8" s="13">
        <f t="shared" ca="1" si="0"/>
        <v>2.8797744857142864</v>
      </c>
      <c r="F8" s="14"/>
    </row>
    <row r="9" spans="1:8" x14ac:dyDescent="0.25">
      <c r="A9" s="11">
        <v>6</v>
      </c>
      <c r="B9" s="12">
        <f>IF(A9=Economico!$B$34,Economico!$B$35,D8)</f>
        <v>5</v>
      </c>
      <c r="C9" s="11" t="s">
        <v>18</v>
      </c>
      <c r="D9" s="13">
        <f t="shared" ca="1" si="0"/>
        <v>9.75</v>
      </c>
      <c r="F9" s="14"/>
    </row>
    <row r="10" spans="1:8" x14ac:dyDescent="0.25">
      <c r="A10" s="11">
        <v>7</v>
      </c>
      <c r="B10" s="12">
        <f ca="1">IF(A10=Economico!$B$34,Economico!$B$35,D9)</f>
        <v>9.75</v>
      </c>
      <c r="C10" s="11" t="s">
        <v>18</v>
      </c>
      <c r="D10" s="13">
        <f t="shared" ca="1" si="0"/>
        <v>19.012499999999999</v>
      </c>
      <c r="F10" s="14"/>
    </row>
    <row r="11" spans="1:8" x14ac:dyDescent="0.25">
      <c r="A11" s="11">
        <v>8</v>
      </c>
      <c r="B11" s="12">
        <f ca="1">IF(A11=Economico!$B$34,Economico!$B$35,D10)</f>
        <v>19.012499999999999</v>
      </c>
      <c r="C11" s="11" t="s">
        <v>18</v>
      </c>
      <c r="D11" s="13">
        <f t="shared" ca="1" si="0"/>
        <v>34.222499999999997</v>
      </c>
      <c r="F11" s="14"/>
    </row>
    <row r="12" spans="1:8" x14ac:dyDescent="0.25">
      <c r="A12" s="11">
        <v>9</v>
      </c>
      <c r="B12" s="12">
        <f ca="1">IF(A12=Economico!$B$34,Economico!$B$35,D11)</f>
        <v>34.222499999999997</v>
      </c>
      <c r="C12" s="11" t="s">
        <v>18</v>
      </c>
      <c r="D12" s="13">
        <f t="shared" ca="1" si="0"/>
        <v>50.649299999999997</v>
      </c>
    </row>
    <row r="13" spans="1:8" x14ac:dyDescent="0.25">
      <c r="A13" s="11">
        <v>10</v>
      </c>
      <c r="B13" s="12">
        <f ca="1">IF(A13=Economico!$B$34,Economico!$B$35,D12)</f>
        <v>50.649299999999997</v>
      </c>
      <c r="C13" s="11" t="s">
        <v>18</v>
      </c>
      <c r="D13" s="13">
        <f t="shared" ca="1" si="0"/>
        <v>57.595489714285712</v>
      </c>
    </row>
    <row r="14" spans="1:8" x14ac:dyDescent="0.25">
      <c r="A14" s="11">
        <v>11</v>
      </c>
      <c r="B14" s="12">
        <f ca="1">IF(A14=Economico!$B$34,Economico!$B$35,D13)</f>
        <v>57.595489714285712</v>
      </c>
      <c r="C14" s="11" t="s">
        <v>18</v>
      </c>
      <c r="D14" s="13">
        <f t="shared" ca="1" si="0"/>
        <v>51.68826</v>
      </c>
    </row>
    <row r="15" spans="1:8" x14ac:dyDescent="0.25">
      <c r="A15" s="11">
        <v>12</v>
      </c>
      <c r="B15" s="12">
        <f ca="1">IF(A15=Economico!$B$34,Economico!$B$35,D14)</f>
        <v>51.68826</v>
      </c>
      <c r="C15" s="11" t="s">
        <v>18</v>
      </c>
      <c r="D15" s="13">
        <f t="shared" ca="1" si="0"/>
        <v>44.304222857142861</v>
      </c>
    </row>
    <row r="16" spans="1:8" x14ac:dyDescent="0.25">
      <c r="A16" s="15" t="s">
        <v>24</v>
      </c>
      <c r="B16" s="16">
        <f ca="1">+MAX(B4:B15)</f>
        <v>57.595489714285712</v>
      </c>
      <c r="C16" s="17"/>
      <c r="D16" s="18"/>
    </row>
    <row r="18" spans="1:5" x14ac:dyDescent="0.25">
      <c r="A18" s="6" t="s">
        <v>6</v>
      </c>
      <c r="B18" s="6" t="s">
        <v>23</v>
      </c>
      <c r="C18" s="7" t="s">
        <v>19</v>
      </c>
      <c r="D18" s="8" t="s">
        <v>22</v>
      </c>
      <c r="E18" s="19" t="s">
        <v>93</v>
      </c>
    </row>
    <row r="19" spans="1:5" x14ac:dyDescent="0.25">
      <c r="A19" s="11">
        <v>1</v>
      </c>
      <c r="B19" s="12">
        <f ca="1">IF(A19=Economico!$B$34,Economico!$B$35,D30)</f>
        <v>37.5</v>
      </c>
      <c r="C19" s="11" t="s">
        <v>20</v>
      </c>
      <c r="D19" s="13">
        <f t="shared" ref="D19:D30" ca="1" si="1">MIN(100,VLOOKUP(A19,INDIRECT(C19),2,FALSE)*B19+B19)</f>
        <v>15</v>
      </c>
    </row>
    <row r="20" spans="1:5" x14ac:dyDescent="0.25">
      <c r="A20" s="11">
        <v>2</v>
      </c>
      <c r="B20" s="12">
        <f ca="1">IF(A20=Economico!$B$34,Economico!$B$35,D19)</f>
        <v>15</v>
      </c>
      <c r="C20" s="11" t="s">
        <v>20</v>
      </c>
      <c r="D20" s="13">
        <f t="shared" ca="1" si="1"/>
        <v>5</v>
      </c>
    </row>
    <row r="21" spans="1:5" x14ac:dyDescent="0.25">
      <c r="A21" s="11">
        <v>3</v>
      </c>
      <c r="B21" s="12">
        <f ca="1">IF(A21=Economico!$B$34,Economico!$B$35,D20)</f>
        <v>5</v>
      </c>
      <c r="C21" s="11" t="s">
        <v>20</v>
      </c>
      <c r="D21" s="13">
        <f t="shared" ca="1" si="1"/>
        <v>1.25</v>
      </c>
    </row>
    <row r="22" spans="1:5" x14ac:dyDescent="0.25">
      <c r="A22" s="11">
        <v>4</v>
      </c>
      <c r="B22" s="12">
        <f ca="1">IF(A22=Economico!$B$34,Economico!$B$35,D21)</f>
        <v>1.25</v>
      </c>
      <c r="C22" s="11" t="s">
        <v>20</v>
      </c>
      <c r="D22" s="13">
        <f t="shared" ca="1" si="1"/>
        <v>1.25</v>
      </c>
    </row>
    <row r="23" spans="1:5" x14ac:dyDescent="0.25">
      <c r="A23" s="11">
        <v>5</v>
      </c>
      <c r="B23" s="12">
        <f ca="1">IF(A23=Economico!$B$34,Economico!$B$35,D22)</f>
        <v>1.25</v>
      </c>
      <c r="C23" s="11" t="s">
        <v>20</v>
      </c>
      <c r="D23" s="13">
        <f t="shared" ca="1" si="1"/>
        <v>5</v>
      </c>
    </row>
    <row r="24" spans="1:5" x14ac:dyDescent="0.25">
      <c r="A24" s="11">
        <v>6</v>
      </c>
      <c r="B24" s="12">
        <f>IF(A24=Economico!$B$34,Economico!$B$35,D23)</f>
        <v>5</v>
      </c>
      <c r="C24" s="11" t="s">
        <v>20</v>
      </c>
      <c r="D24" s="13">
        <f t="shared" ca="1" si="1"/>
        <v>10</v>
      </c>
    </row>
    <row r="25" spans="1:5" x14ac:dyDescent="0.25">
      <c r="A25" s="11">
        <v>7</v>
      </c>
      <c r="B25" s="12">
        <f ca="1">IF(A25=Economico!$B$34,Economico!$B$35,D24)</f>
        <v>10</v>
      </c>
      <c r="C25" s="11" t="s">
        <v>20</v>
      </c>
      <c r="D25" s="13">
        <f t="shared" ca="1" si="1"/>
        <v>18.75</v>
      </c>
    </row>
    <row r="26" spans="1:5" x14ac:dyDescent="0.25">
      <c r="A26" s="11">
        <v>8</v>
      </c>
      <c r="B26" s="12">
        <f ca="1">IF(A26=Economico!$B$34,Economico!$B$35,D25)</f>
        <v>18.75</v>
      </c>
      <c r="C26" s="11" t="s">
        <v>20</v>
      </c>
      <c r="D26" s="13">
        <f t="shared" ca="1" si="1"/>
        <v>31.25</v>
      </c>
    </row>
    <row r="27" spans="1:5" x14ac:dyDescent="0.25">
      <c r="A27" s="11">
        <v>9</v>
      </c>
      <c r="B27" s="12">
        <f ca="1">IF(A27=Economico!$B$34,Economico!$B$35,D26)</f>
        <v>31.25</v>
      </c>
      <c r="C27" s="11" t="s">
        <v>20</v>
      </c>
      <c r="D27" s="13">
        <f t="shared" ca="1" si="1"/>
        <v>43.75</v>
      </c>
    </row>
    <row r="28" spans="1:5" x14ac:dyDescent="0.25">
      <c r="A28" s="11">
        <v>10</v>
      </c>
      <c r="B28" s="12">
        <f ca="1">IF(A28=Economico!$B$34,Economico!$B$35,D27)</f>
        <v>43.75</v>
      </c>
      <c r="C28" s="11" t="s">
        <v>20</v>
      </c>
      <c r="D28" s="13">
        <f t="shared" ca="1" si="1"/>
        <v>48.75</v>
      </c>
    </row>
    <row r="29" spans="1:5" x14ac:dyDescent="0.25">
      <c r="A29" s="11">
        <v>11</v>
      </c>
      <c r="B29" s="12">
        <f ca="1">IF(A29=Economico!$B$34,Economico!$B$35,D28)</f>
        <v>48.75</v>
      </c>
      <c r="C29" s="11" t="s">
        <v>20</v>
      </c>
      <c r="D29" s="13">
        <f t="shared" ca="1" si="1"/>
        <v>43.75</v>
      </c>
    </row>
    <row r="30" spans="1:5" x14ac:dyDescent="0.25">
      <c r="A30" s="11">
        <v>12</v>
      </c>
      <c r="B30" s="12">
        <f ca="1">IF(A30=Economico!$B$34,Economico!$B$35,D29)</f>
        <v>43.75</v>
      </c>
      <c r="C30" s="11" t="s">
        <v>20</v>
      </c>
      <c r="D30" s="13">
        <f t="shared" ca="1" si="1"/>
        <v>37.5</v>
      </c>
    </row>
    <row r="31" spans="1:5" x14ac:dyDescent="0.25">
      <c r="A31" s="19" t="s">
        <v>91</v>
      </c>
      <c r="B31" s="20">
        <f ca="1">+MAX(B19:B30)</f>
        <v>48.75</v>
      </c>
      <c r="C31" s="17"/>
      <c r="D31" s="18"/>
    </row>
    <row r="33" spans="1:5" x14ac:dyDescent="0.25">
      <c r="A33" s="6" t="s">
        <v>6</v>
      </c>
      <c r="B33" s="6" t="s">
        <v>23</v>
      </c>
      <c r="C33" s="7" t="s">
        <v>19</v>
      </c>
      <c r="D33" s="8" t="s">
        <v>22</v>
      </c>
      <c r="E33" s="21" t="s">
        <v>95</v>
      </c>
    </row>
    <row r="34" spans="1:5" x14ac:dyDescent="0.25">
      <c r="A34" s="11">
        <v>1</v>
      </c>
      <c r="B34" s="12">
        <f ca="1">IF(A34=Economico!$B$34,Economico!$B$35,D45)</f>
        <v>14.027472527472526</v>
      </c>
      <c r="C34" s="11" t="s">
        <v>21</v>
      </c>
      <c r="D34" s="13">
        <f t="shared" ref="D34:D45" ca="1" si="2">MIN(100,VLOOKUP(A34,INDIRECT(C34),2,FALSE)*B34+B34)</f>
        <v>5.6109890109890106</v>
      </c>
    </row>
    <row r="35" spans="1:5" x14ac:dyDescent="0.25">
      <c r="A35" s="11">
        <v>2</v>
      </c>
      <c r="B35" s="12">
        <f ca="1">IF(A35=Economico!$B$34,Economico!$B$35,D34)</f>
        <v>5.6109890109890106</v>
      </c>
      <c r="C35" s="11" t="s">
        <v>21</v>
      </c>
      <c r="D35" s="13">
        <f t="shared" ca="1" si="2"/>
        <v>1.8703296703296703</v>
      </c>
    </row>
    <row r="36" spans="1:5" x14ac:dyDescent="0.25">
      <c r="A36" s="11">
        <v>3</v>
      </c>
      <c r="B36" s="12">
        <f ca="1">IF(A36=Economico!$B$34,Economico!$B$35,D35)</f>
        <v>1.8703296703296703</v>
      </c>
      <c r="C36" s="11" t="s">
        <v>21</v>
      </c>
      <c r="D36" s="13">
        <f t="shared" ca="1" si="2"/>
        <v>0.4675824175824177</v>
      </c>
    </row>
    <row r="37" spans="1:5" x14ac:dyDescent="0.25">
      <c r="A37" s="11">
        <v>4</v>
      </c>
      <c r="B37" s="12">
        <f ca="1">IF(A37=Economico!$B$34,Economico!$B$35,D36)</f>
        <v>0.4675824175824177</v>
      </c>
      <c r="C37" s="11" t="s">
        <v>21</v>
      </c>
      <c r="D37" s="13">
        <f t="shared" ca="1" si="2"/>
        <v>0.4675824175824177</v>
      </c>
    </row>
    <row r="38" spans="1:5" x14ac:dyDescent="0.25">
      <c r="A38" s="11">
        <v>5</v>
      </c>
      <c r="B38" s="12">
        <f ca="1">IF(A38=Economico!$B$34,Economico!$B$35,D37)</f>
        <v>0.4675824175824177</v>
      </c>
      <c r="C38" s="11" t="s">
        <v>21</v>
      </c>
      <c r="D38" s="13">
        <f t="shared" ca="1" si="2"/>
        <v>0.91178571428571442</v>
      </c>
    </row>
    <row r="39" spans="1:5" x14ac:dyDescent="0.25">
      <c r="A39" s="11">
        <v>6</v>
      </c>
      <c r="B39" s="12">
        <f>IF(A39=Economico!$B$34,Economico!$B$35,D38)</f>
        <v>5</v>
      </c>
      <c r="C39" s="11" t="s">
        <v>21</v>
      </c>
      <c r="D39" s="13">
        <f t="shared" ca="1" si="2"/>
        <v>7.5</v>
      </c>
    </row>
    <row r="40" spans="1:5" x14ac:dyDescent="0.25">
      <c r="A40" s="11">
        <v>7</v>
      </c>
      <c r="B40" s="12">
        <f ca="1">IF(A40=Economico!$B$34,Economico!$B$35,D39)</f>
        <v>7.5</v>
      </c>
      <c r="C40" s="11" t="s">
        <v>21</v>
      </c>
      <c r="D40" s="13">
        <f t="shared" ca="1" si="2"/>
        <v>10.78125</v>
      </c>
    </row>
    <row r="41" spans="1:5" x14ac:dyDescent="0.25">
      <c r="A41" s="11">
        <v>8</v>
      </c>
      <c r="B41" s="12">
        <f ca="1">IF(A41=Economico!$B$34,Economico!$B$35,D40)</f>
        <v>10.78125</v>
      </c>
      <c r="C41" s="11" t="s">
        <v>21</v>
      </c>
      <c r="D41" s="13">
        <f t="shared" ca="1" si="2"/>
        <v>14.375</v>
      </c>
    </row>
    <row r="42" spans="1:5" x14ac:dyDescent="0.25">
      <c r="A42" s="11">
        <v>9</v>
      </c>
      <c r="B42" s="12">
        <f ca="1">IF(A42=Economico!$B$34,Economico!$B$35,D41)</f>
        <v>14.375</v>
      </c>
      <c r="C42" s="11" t="s">
        <v>21</v>
      </c>
      <c r="D42" s="13">
        <f t="shared" ca="1" si="2"/>
        <v>17.25</v>
      </c>
    </row>
    <row r="43" spans="1:5" x14ac:dyDescent="0.25">
      <c r="A43" s="11">
        <v>10</v>
      </c>
      <c r="B43" s="12">
        <f ca="1">IF(A43=Economico!$B$34,Economico!$B$35,D42)</f>
        <v>17.25</v>
      </c>
      <c r="C43" s="11" t="s">
        <v>21</v>
      </c>
      <c r="D43" s="13">
        <f t="shared" ca="1" si="2"/>
        <v>18.235714285714284</v>
      </c>
    </row>
    <row r="44" spans="1:5" x14ac:dyDescent="0.25">
      <c r="A44" s="11">
        <v>11</v>
      </c>
      <c r="B44" s="12">
        <f ca="1">IF(A44=Economico!$B$34,Economico!$B$35,D43)</f>
        <v>18.235714285714284</v>
      </c>
      <c r="C44" s="11" t="s">
        <v>21</v>
      </c>
      <c r="D44" s="13">
        <f t="shared" ca="1" si="2"/>
        <v>16.365384615384613</v>
      </c>
    </row>
    <row r="45" spans="1:5" x14ac:dyDescent="0.25">
      <c r="A45" s="11">
        <v>12</v>
      </c>
      <c r="B45" s="12">
        <f ca="1">IF(A45=Economico!$B$34,Economico!$B$35,D44)</f>
        <v>16.365384615384613</v>
      </c>
      <c r="C45" s="11" t="s">
        <v>21</v>
      </c>
      <c r="D45" s="13">
        <f t="shared" ca="1" si="2"/>
        <v>14.027472527472526</v>
      </c>
    </row>
    <row r="46" spans="1:5" x14ac:dyDescent="0.25">
      <c r="A46" s="21" t="s">
        <v>25</v>
      </c>
      <c r="B46" s="22">
        <f ca="1">+MAX(B34:B45)</f>
        <v>18.235714285714284</v>
      </c>
      <c r="C46" s="17"/>
      <c r="D46" s="18"/>
    </row>
    <row r="49" spans="1:5" x14ac:dyDescent="0.25">
      <c r="A49" s="17"/>
      <c r="B49" s="6" t="s">
        <v>23</v>
      </c>
      <c r="C49" s="7" t="s">
        <v>19</v>
      </c>
      <c r="D49" s="8" t="s">
        <v>22</v>
      </c>
      <c r="E49" s="101" t="s">
        <v>117</v>
      </c>
    </row>
    <row r="50" spans="1:5" x14ac:dyDescent="0.25">
      <c r="A50" s="6" t="s">
        <v>6</v>
      </c>
      <c r="B50" s="17"/>
      <c r="C50" s="17"/>
      <c r="D50" s="18"/>
    </row>
    <row r="51" spans="1:5" x14ac:dyDescent="0.25">
      <c r="A51" s="11">
        <v>1</v>
      </c>
      <c r="B51" s="12">
        <f ca="1">IF(A51=Economico!$B$34,Economico!$B$35,D62)</f>
        <v>55.323115714285713</v>
      </c>
      <c r="C51" s="11" t="s">
        <v>67</v>
      </c>
      <c r="D51" s="13">
        <f ca="1">MIN(100,VLOOKUP(A51,INDIRECT(C51),2,FALSE)*B51+B51)</f>
        <v>22.129246285714288</v>
      </c>
    </row>
    <row r="52" spans="1:5" x14ac:dyDescent="0.25">
      <c r="A52" s="11">
        <v>2</v>
      </c>
      <c r="B52" s="12">
        <f ca="1">IF(A52=Economico!$B$34,Economico!$B$35,D51)</f>
        <v>22.129246285714288</v>
      </c>
      <c r="C52" s="11" t="s">
        <v>67</v>
      </c>
      <c r="D52" s="13">
        <f t="shared" ref="D52:D62" ca="1" si="3">MIN(100,VLOOKUP(A52,INDIRECT(C52),2,FALSE)*B52+B52)</f>
        <v>7.3764154285714305</v>
      </c>
    </row>
    <row r="53" spans="1:5" x14ac:dyDescent="0.25">
      <c r="A53" s="11">
        <v>3</v>
      </c>
      <c r="B53" s="12">
        <f ca="1">IF(A53=Economico!$B$34,Economico!$B$35,D52)</f>
        <v>7.3764154285714305</v>
      </c>
      <c r="C53" s="11" t="s">
        <v>67</v>
      </c>
      <c r="D53" s="13">
        <f t="shared" ca="1" si="3"/>
        <v>1.8441038571428576</v>
      </c>
    </row>
    <row r="54" spans="1:5" x14ac:dyDescent="0.25">
      <c r="A54" s="11">
        <v>4</v>
      </c>
      <c r="B54" s="12">
        <f ca="1">IF(A54=Economico!$B$34,Economico!$B$35,D53)</f>
        <v>1.8441038571428576</v>
      </c>
      <c r="C54" s="11" t="s">
        <v>67</v>
      </c>
      <c r="D54" s="13">
        <f t="shared" ca="1" si="3"/>
        <v>1.8441038571428576</v>
      </c>
    </row>
    <row r="55" spans="1:5" x14ac:dyDescent="0.25">
      <c r="A55" s="11">
        <v>5</v>
      </c>
      <c r="B55" s="12">
        <f ca="1">IF(A55=Economico!$B$34,Economico!$B$35,D54)</f>
        <v>1.8441038571428576</v>
      </c>
      <c r="C55" s="11" t="s">
        <v>67</v>
      </c>
      <c r="D55" s="13">
        <f t="shared" ca="1" si="3"/>
        <v>3.5960025214285722</v>
      </c>
    </row>
    <row r="56" spans="1:5" x14ac:dyDescent="0.25">
      <c r="A56" s="11">
        <v>6</v>
      </c>
      <c r="B56" s="12">
        <f>IF(A56=Economico!$B$34,Economico!$B$35,D55)</f>
        <v>5</v>
      </c>
      <c r="C56" s="11" t="s">
        <v>67</v>
      </c>
      <c r="D56" s="13">
        <f t="shared" ca="1" si="3"/>
        <v>9.75</v>
      </c>
    </row>
    <row r="57" spans="1:5" x14ac:dyDescent="0.25">
      <c r="A57" s="11">
        <v>7</v>
      </c>
      <c r="B57" s="12">
        <f ca="1">IF(A57=Economico!$B$34,Economico!$B$35,D56)</f>
        <v>9.75</v>
      </c>
      <c r="C57" s="11" t="s">
        <v>67</v>
      </c>
      <c r="D57" s="13">
        <f t="shared" ca="1" si="3"/>
        <v>19.012499999999999</v>
      </c>
    </row>
    <row r="58" spans="1:5" x14ac:dyDescent="0.25">
      <c r="A58" s="11">
        <v>8</v>
      </c>
      <c r="B58" s="12">
        <f ca="1">IF(A58=Economico!$B$34,Economico!$B$35,D57)</f>
        <v>19.012499999999999</v>
      </c>
      <c r="C58" s="11" t="s">
        <v>67</v>
      </c>
      <c r="D58" s="13">
        <f t="shared" ca="1" si="3"/>
        <v>37.074374999999996</v>
      </c>
    </row>
    <row r="59" spans="1:5" x14ac:dyDescent="0.25">
      <c r="A59" s="11">
        <v>9</v>
      </c>
      <c r="B59" s="12">
        <f ca="1">IF(A59=Economico!$B$34,Economico!$B$35,D58)</f>
        <v>37.074374999999996</v>
      </c>
      <c r="C59" s="11" t="s">
        <v>67</v>
      </c>
      <c r="D59" s="13">
        <f t="shared" ca="1" si="3"/>
        <v>60.801974999999999</v>
      </c>
    </row>
    <row r="60" spans="1:5" x14ac:dyDescent="0.25">
      <c r="A60" s="11">
        <v>10</v>
      </c>
      <c r="B60" s="12">
        <f ca="1">IF(A60=Economico!$B$34,Economico!$B$35,D59)</f>
        <v>60.801974999999999</v>
      </c>
      <c r="C60" s="11" t="s">
        <v>67</v>
      </c>
      <c r="D60" s="13">
        <f t="shared" ca="1" si="3"/>
        <v>71.920050428571429</v>
      </c>
    </row>
    <row r="61" spans="1:5" x14ac:dyDescent="0.25">
      <c r="A61" s="11">
        <v>11</v>
      </c>
      <c r="B61" s="12">
        <f ca="1">IF(A61=Economico!$B$34,Economico!$B$35,D60)</f>
        <v>71.920050428571429</v>
      </c>
      <c r="C61" s="11" t="s">
        <v>67</v>
      </c>
      <c r="D61" s="13">
        <f t="shared" ca="1" si="3"/>
        <v>64.543634999999995</v>
      </c>
    </row>
    <row r="62" spans="1:5" x14ac:dyDescent="0.25">
      <c r="A62" s="11">
        <v>12</v>
      </c>
      <c r="B62" s="12">
        <f ca="1">IF(A62=Economico!$B$34,Economico!$B$35,D61)</f>
        <v>64.543634999999995</v>
      </c>
      <c r="C62" s="11" t="s">
        <v>67</v>
      </c>
      <c r="D62" s="13">
        <f t="shared" ca="1" si="3"/>
        <v>55.323115714285713</v>
      </c>
    </row>
    <row r="63" spans="1:5" x14ac:dyDescent="0.25">
      <c r="A63" s="23" t="s">
        <v>66</v>
      </c>
      <c r="B63" s="24">
        <f ca="1">+MAX(B51:B62)</f>
        <v>71.920050428571429</v>
      </c>
      <c r="C63" s="17"/>
      <c r="D63" s="1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8" sqref="E18"/>
    </sheetView>
  </sheetViews>
  <sheetFormatPr baseColWidth="10" defaultRowHeight="15" x14ac:dyDescent="0.25"/>
  <sheetData>
    <row r="1" spans="1:6" x14ac:dyDescent="0.25">
      <c r="A1" s="4" t="s">
        <v>85</v>
      </c>
      <c r="B1" s="4" t="s">
        <v>86</v>
      </c>
      <c r="E1" s="4" t="s">
        <v>86</v>
      </c>
      <c r="F1" s="4" t="s">
        <v>85</v>
      </c>
    </row>
    <row r="2" spans="1:6" x14ac:dyDescent="0.25">
      <c r="A2" s="3">
        <v>1</v>
      </c>
      <c r="B2" s="3" t="s">
        <v>73</v>
      </c>
      <c r="E2" s="3" t="s">
        <v>73</v>
      </c>
      <c r="F2" s="3">
        <v>1</v>
      </c>
    </row>
    <row r="3" spans="1:6" x14ac:dyDescent="0.25">
      <c r="A3" s="3">
        <f>A2+1</f>
        <v>2</v>
      </c>
      <c r="B3" s="3" t="s">
        <v>74</v>
      </c>
      <c r="E3" s="3" t="s">
        <v>74</v>
      </c>
      <c r="F3" s="3">
        <f>F2+1</f>
        <v>2</v>
      </c>
    </row>
    <row r="4" spans="1:6" x14ac:dyDescent="0.25">
      <c r="A4" s="3">
        <f t="shared" ref="A4:A13" si="0">A3+1</f>
        <v>3</v>
      </c>
      <c r="B4" s="3" t="s">
        <v>75</v>
      </c>
      <c r="E4" s="3" t="s">
        <v>75</v>
      </c>
      <c r="F4" s="3">
        <f t="shared" ref="F4:F13" si="1">F3+1</f>
        <v>3</v>
      </c>
    </row>
    <row r="5" spans="1:6" x14ac:dyDescent="0.25">
      <c r="A5" s="3">
        <f t="shared" si="0"/>
        <v>4</v>
      </c>
      <c r="B5" s="3" t="s">
        <v>76</v>
      </c>
      <c r="E5" s="3" t="s">
        <v>76</v>
      </c>
      <c r="F5" s="3">
        <f t="shared" si="1"/>
        <v>4</v>
      </c>
    </row>
    <row r="6" spans="1:6" x14ac:dyDescent="0.25">
      <c r="A6" s="3">
        <f t="shared" si="0"/>
        <v>5</v>
      </c>
      <c r="B6" s="3" t="s">
        <v>77</v>
      </c>
      <c r="E6" s="3" t="s">
        <v>77</v>
      </c>
      <c r="F6" s="3">
        <f t="shared" si="1"/>
        <v>5</v>
      </c>
    </row>
    <row r="7" spans="1:6" x14ac:dyDescent="0.25">
      <c r="A7" s="3">
        <f t="shared" si="0"/>
        <v>6</v>
      </c>
      <c r="B7" s="3" t="s">
        <v>78</v>
      </c>
      <c r="E7" s="3" t="s">
        <v>78</v>
      </c>
      <c r="F7" s="3">
        <f t="shared" si="1"/>
        <v>6</v>
      </c>
    </row>
    <row r="8" spans="1:6" x14ac:dyDescent="0.25">
      <c r="A8" s="3">
        <f t="shared" si="0"/>
        <v>7</v>
      </c>
      <c r="B8" s="3" t="s">
        <v>79</v>
      </c>
      <c r="E8" s="3" t="s">
        <v>79</v>
      </c>
      <c r="F8" s="3">
        <f t="shared" si="1"/>
        <v>7</v>
      </c>
    </row>
    <row r="9" spans="1:6" x14ac:dyDescent="0.25">
      <c r="A9" s="3">
        <f t="shared" si="0"/>
        <v>8</v>
      </c>
      <c r="B9" s="3" t="s">
        <v>84</v>
      </c>
      <c r="E9" s="3" t="s">
        <v>84</v>
      </c>
      <c r="F9" s="3">
        <f t="shared" si="1"/>
        <v>8</v>
      </c>
    </row>
    <row r="10" spans="1:6" x14ac:dyDescent="0.25">
      <c r="A10" s="3">
        <f t="shared" si="0"/>
        <v>9</v>
      </c>
      <c r="B10" s="3" t="s">
        <v>80</v>
      </c>
      <c r="E10" s="3" t="s">
        <v>80</v>
      </c>
      <c r="F10" s="3">
        <f t="shared" si="1"/>
        <v>9</v>
      </c>
    </row>
    <row r="11" spans="1:6" x14ac:dyDescent="0.25">
      <c r="A11" s="3">
        <f t="shared" si="0"/>
        <v>10</v>
      </c>
      <c r="B11" s="3" t="s">
        <v>81</v>
      </c>
      <c r="E11" s="3" t="s">
        <v>81</v>
      </c>
      <c r="F11" s="3">
        <f t="shared" si="1"/>
        <v>10</v>
      </c>
    </row>
    <row r="12" spans="1:6" x14ac:dyDescent="0.25">
      <c r="A12" s="3">
        <f t="shared" si="0"/>
        <v>11</v>
      </c>
      <c r="B12" s="3" t="s">
        <v>82</v>
      </c>
      <c r="E12" s="3" t="s">
        <v>82</v>
      </c>
      <c r="F12" s="3">
        <f t="shared" si="1"/>
        <v>11</v>
      </c>
    </row>
    <row r="13" spans="1:6" x14ac:dyDescent="0.25">
      <c r="A13" s="3">
        <f t="shared" si="0"/>
        <v>12</v>
      </c>
      <c r="B13" s="3" t="s">
        <v>83</v>
      </c>
      <c r="E13" s="3" t="s">
        <v>83</v>
      </c>
      <c r="F13" s="3">
        <f t="shared" si="1"/>
        <v>12</v>
      </c>
    </row>
    <row r="15" spans="1:6" x14ac:dyDescent="0.25">
      <c r="A15" s="4" t="s">
        <v>207</v>
      </c>
    </row>
    <row r="16" spans="1:6" x14ac:dyDescent="0.25">
      <c r="A16" s="3" t="s">
        <v>208</v>
      </c>
    </row>
    <row r="17" spans="1:1" x14ac:dyDescent="0.25">
      <c r="A17" s="3" t="s">
        <v>201</v>
      </c>
    </row>
    <row r="18" spans="1:1" x14ac:dyDescent="0.25">
      <c r="A18" s="3" t="s">
        <v>209</v>
      </c>
    </row>
    <row r="19" spans="1:1" x14ac:dyDescent="0.25">
      <c r="A19" s="3" t="s">
        <v>210</v>
      </c>
    </row>
    <row r="20" spans="1:1" x14ac:dyDescent="0.25">
      <c r="A20" s="3" t="s">
        <v>211</v>
      </c>
    </row>
    <row r="21" spans="1:1" x14ac:dyDescent="0.25">
      <c r="A21" s="3" t="s">
        <v>212</v>
      </c>
    </row>
    <row r="22" spans="1:1" x14ac:dyDescent="0.25">
      <c r="A22" s="3" t="s">
        <v>213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zoomScale="90" zoomScaleNormal="90" workbookViewId="0">
      <selection activeCell="F12" sqref="F12"/>
    </sheetView>
  </sheetViews>
  <sheetFormatPr baseColWidth="10" defaultRowHeight="15" x14ac:dyDescent="0.25"/>
  <cols>
    <col min="1" max="1" width="14.5703125" customWidth="1"/>
    <col min="2" max="2" width="10.42578125" customWidth="1"/>
    <col min="3" max="3" width="14.28515625" customWidth="1"/>
    <col min="4" max="4" width="11" customWidth="1"/>
    <col min="5" max="5" width="1.140625" style="185" customWidth="1"/>
    <col min="6" max="6" width="15.42578125" customWidth="1"/>
    <col min="7" max="7" width="12.42578125" customWidth="1"/>
    <col min="8" max="8" width="15.42578125" customWidth="1"/>
    <col min="9" max="9" width="11.28515625" customWidth="1"/>
    <col min="10" max="10" width="1.42578125" style="185" customWidth="1"/>
    <col min="11" max="11" width="16.85546875" style="185" customWidth="1"/>
    <col min="12" max="12" width="11.85546875" style="185" customWidth="1"/>
    <col min="13" max="13" width="17.28515625" style="185" customWidth="1"/>
    <col min="14" max="14" width="13" style="185" customWidth="1"/>
    <col min="15" max="27" width="11.42578125" style="185"/>
  </cols>
  <sheetData>
    <row r="1" spans="1:27" s="167" customFormat="1" ht="20.100000000000001" customHeight="1" thickBot="1" x14ac:dyDescent="0.3">
      <c r="A1" s="452" t="s">
        <v>147</v>
      </c>
      <c r="B1" s="453"/>
      <c r="C1" s="453"/>
      <c r="D1" s="453"/>
      <c r="E1" s="178"/>
      <c r="F1" s="458" t="s">
        <v>146</v>
      </c>
      <c r="G1" s="459"/>
      <c r="H1" s="459"/>
      <c r="I1" s="459"/>
      <c r="J1" s="178"/>
      <c r="K1" s="479" t="s">
        <v>223</v>
      </c>
      <c r="L1" s="480"/>
      <c r="M1" s="480"/>
      <c r="N1" s="480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</row>
    <row r="2" spans="1:27" s="166" customFormat="1" ht="29.25" customHeight="1" thickTop="1" x14ac:dyDescent="0.2">
      <c r="A2" s="489" t="s">
        <v>142</v>
      </c>
      <c r="B2" s="490"/>
      <c r="C2" s="489" t="s">
        <v>7</v>
      </c>
      <c r="D2" s="490"/>
      <c r="E2" s="179"/>
      <c r="F2" s="460" t="s">
        <v>199</v>
      </c>
      <c r="G2" s="488"/>
      <c r="H2" s="460" t="s">
        <v>242</v>
      </c>
      <c r="I2" s="461"/>
      <c r="J2" s="184"/>
      <c r="K2" s="481" t="s">
        <v>157</v>
      </c>
      <c r="L2" s="482"/>
      <c r="M2" s="481" t="s">
        <v>233</v>
      </c>
      <c r="N2" s="483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</row>
    <row r="3" spans="1:27" ht="38.25" customHeight="1" thickBot="1" x14ac:dyDescent="0.3">
      <c r="A3" s="484" t="s">
        <v>190</v>
      </c>
      <c r="B3" s="485"/>
      <c r="C3" s="486" t="s">
        <v>191</v>
      </c>
      <c r="D3" s="487"/>
      <c r="E3" s="180"/>
      <c r="F3" s="255">
        <v>2</v>
      </c>
      <c r="G3" s="339" t="str">
        <f>ua</f>
        <v>ha</v>
      </c>
      <c r="H3" s="256">
        <v>100</v>
      </c>
      <c r="I3" s="340" t="str">
        <f>CONCATENATE(ud,"/",up)</f>
        <v>$/qq</v>
      </c>
      <c r="K3" s="264">
        <v>0</v>
      </c>
      <c r="L3" s="349" t="s">
        <v>232</v>
      </c>
      <c r="M3" s="265">
        <v>4</v>
      </c>
      <c r="N3" s="350" t="str">
        <f>CONCATENATE("d.h/",up)</f>
        <v>d.h/qq</v>
      </c>
    </row>
    <row r="4" spans="1:27" s="166" customFormat="1" ht="27" customHeight="1" thickTop="1" x14ac:dyDescent="0.2">
      <c r="A4" s="450" t="s">
        <v>143</v>
      </c>
      <c r="B4" s="451"/>
      <c r="C4" s="450" t="str">
        <f>CONCATENATE("Numero de familias de este tipo en ",A3)</f>
        <v>Numero de familias de este tipo en USULUTAN</v>
      </c>
      <c r="D4" s="451"/>
      <c r="E4" s="181"/>
      <c r="F4" s="474" t="s">
        <v>203</v>
      </c>
      <c r="G4" s="475"/>
      <c r="H4" s="462" t="s">
        <v>153</v>
      </c>
      <c r="I4" s="463"/>
      <c r="J4" s="184"/>
      <c r="K4" s="500" t="s">
        <v>229</v>
      </c>
      <c r="L4" s="501"/>
      <c r="M4" s="502" t="s">
        <v>235</v>
      </c>
      <c r="N4" s="503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</row>
    <row r="5" spans="1:27" ht="38.25" customHeight="1" x14ac:dyDescent="0.25">
      <c r="A5" s="250">
        <v>700</v>
      </c>
      <c r="B5" s="343" t="s">
        <v>221</v>
      </c>
      <c r="C5" s="251">
        <v>3000</v>
      </c>
      <c r="D5" s="342" t="s">
        <v>222</v>
      </c>
      <c r="E5" s="182"/>
      <c r="F5" s="245">
        <v>30</v>
      </c>
      <c r="G5" s="341" t="str">
        <f>CONCATENATE(up,"/",ua)</f>
        <v>qq/ha</v>
      </c>
      <c r="H5" s="464" t="s">
        <v>166</v>
      </c>
      <c r="I5" s="465"/>
      <c r="K5" s="267">
        <v>5</v>
      </c>
      <c r="L5" s="352" t="str">
        <f>CONCATENATE(ud,"/dia")</f>
        <v>$/dia</v>
      </c>
      <c r="M5" s="266">
        <v>2</v>
      </c>
      <c r="N5" s="351" t="s">
        <v>234</v>
      </c>
    </row>
    <row r="6" spans="1:27" s="185" customFormat="1" ht="6" customHeight="1" x14ac:dyDescent="0.25">
      <c r="A6" s="183"/>
      <c r="B6" s="183"/>
      <c r="C6" s="186"/>
      <c r="D6" s="186"/>
      <c r="E6" s="183"/>
      <c r="F6" s="187"/>
      <c r="G6" s="187"/>
      <c r="H6" s="188"/>
      <c r="I6" s="188"/>
    </row>
    <row r="7" spans="1:27" s="167" customFormat="1" ht="20.100000000000001" customHeight="1" thickBot="1" x14ac:dyDescent="0.3">
      <c r="A7" s="494" t="s">
        <v>145</v>
      </c>
      <c r="B7" s="495"/>
      <c r="C7" s="495"/>
      <c r="D7" s="495"/>
      <c r="E7" s="178"/>
      <c r="F7" s="472" t="s">
        <v>152</v>
      </c>
      <c r="G7" s="473"/>
      <c r="H7" s="473"/>
      <c r="I7" s="473"/>
      <c r="J7" s="178"/>
      <c r="K7" s="504" t="s">
        <v>38</v>
      </c>
      <c r="L7" s="505"/>
      <c r="M7" s="505"/>
      <c r="N7" s="505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spans="1:27" s="166" customFormat="1" ht="27.75" customHeight="1" thickTop="1" x14ac:dyDescent="0.2">
      <c r="A8" s="476" t="s">
        <v>225</v>
      </c>
      <c r="B8" s="477"/>
      <c r="C8" s="476" t="s">
        <v>226</v>
      </c>
      <c r="D8" s="478"/>
      <c r="E8" s="184"/>
      <c r="F8" s="454" t="s">
        <v>200</v>
      </c>
      <c r="G8" s="455"/>
      <c r="H8" s="470" t="s">
        <v>155</v>
      </c>
      <c r="I8" s="471"/>
      <c r="J8" s="184"/>
      <c r="K8" s="506" t="s">
        <v>243</v>
      </c>
      <c r="L8" s="507"/>
      <c r="M8" s="506" t="s">
        <v>230</v>
      </c>
      <c r="N8" s="508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</row>
    <row r="9" spans="1:27" ht="42" customHeight="1" thickBot="1" x14ac:dyDescent="0.3">
      <c r="A9" s="253">
        <v>5</v>
      </c>
      <c r="B9" s="344" t="s">
        <v>224</v>
      </c>
      <c r="C9" s="254">
        <v>1500</v>
      </c>
      <c r="D9" s="345" t="str">
        <f>CONCATENATE(ud,"/año")</f>
        <v>$/año</v>
      </c>
      <c r="F9" s="257">
        <v>50</v>
      </c>
      <c r="G9" s="348" t="str">
        <f>CONCATENATE(Unidades!B4,"/",ua)</f>
        <v>$/ha</v>
      </c>
      <c r="H9" s="258">
        <v>0</v>
      </c>
      <c r="I9" s="259" t="s">
        <v>219</v>
      </c>
      <c r="K9" s="261">
        <v>75</v>
      </c>
      <c r="L9" s="353" t="str">
        <f>CONCATENATE(ud,"/mes/pers")</f>
        <v>$/mes/pers</v>
      </c>
      <c r="M9" s="262">
        <v>200</v>
      </c>
      <c r="N9" s="354" t="str">
        <f>CONCATENATE(ud,"/mes")</f>
        <v>$/mes</v>
      </c>
    </row>
    <row r="10" spans="1:27" s="166" customFormat="1" ht="41.25" customHeight="1" thickTop="1" x14ac:dyDescent="0.2">
      <c r="A10" s="491" t="s">
        <v>228</v>
      </c>
      <c r="B10" s="492"/>
      <c r="C10" s="491" t="s">
        <v>227</v>
      </c>
      <c r="D10" s="493"/>
      <c r="E10" s="184"/>
      <c r="F10" s="466" t="s">
        <v>175</v>
      </c>
      <c r="G10" s="467"/>
      <c r="H10" s="468" t="s">
        <v>202</v>
      </c>
      <c r="I10" s="469"/>
      <c r="J10" s="184"/>
      <c r="K10" s="496" t="s">
        <v>251</v>
      </c>
      <c r="L10" s="497"/>
      <c r="M10" s="498" t="s">
        <v>231</v>
      </c>
      <c r="N10" s="499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</row>
    <row r="11" spans="1:27" ht="38.25" customHeight="1" thickBot="1" x14ac:dyDescent="0.3">
      <c r="A11" s="252">
        <v>1200</v>
      </c>
      <c r="B11" s="346" t="str">
        <f>CONCATENATE(ud,"/año")</f>
        <v>$/año</v>
      </c>
      <c r="C11" s="252">
        <v>3500</v>
      </c>
      <c r="D11" s="346" t="str">
        <f>CONCATENATE(ud,"/año")</f>
        <v>$/año</v>
      </c>
      <c r="F11" s="456" t="s">
        <v>164</v>
      </c>
      <c r="G11" s="457"/>
      <c r="H11" s="260">
        <v>0</v>
      </c>
      <c r="I11" s="347" t="str">
        <f>CONCATENATE(ud,"/año")</f>
        <v>$/año</v>
      </c>
      <c r="K11" s="263">
        <v>5000</v>
      </c>
      <c r="L11" s="355" t="str">
        <f>CONCATENATE(ud,"/",ua)</f>
        <v>$/ha</v>
      </c>
      <c r="M11" s="262">
        <v>150</v>
      </c>
      <c r="N11" s="354" t="str">
        <f>CONCATENATE(ud,"/mes")</f>
        <v>$/mes</v>
      </c>
    </row>
    <row r="12" spans="1:27" s="185" customFormat="1" ht="35.25" customHeight="1" thickTop="1" x14ac:dyDescent="0.25"/>
    <row r="13" spans="1:27" s="249" customFormat="1" ht="20.100000000000001" customHeight="1" x14ac:dyDescent="0.35">
      <c r="A13" s="248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</row>
    <row r="14" spans="1:27" ht="24" customHeight="1" x14ac:dyDescent="0.25">
      <c r="A14" s="185"/>
      <c r="B14" s="185"/>
      <c r="C14" s="185"/>
      <c r="D14" s="185"/>
      <c r="F14" s="185"/>
      <c r="G14" s="185"/>
      <c r="H14" s="185"/>
      <c r="I14" s="185"/>
    </row>
    <row r="15" spans="1:27" ht="21.75" customHeight="1" x14ac:dyDescent="0.25">
      <c r="A15" s="185"/>
      <c r="B15" s="185"/>
      <c r="C15" s="185"/>
      <c r="D15" s="185"/>
      <c r="F15" s="185"/>
      <c r="G15" s="185"/>
      <c r="H15" s="185"/>
      <c r="I15" s="185"/>
    </row>
    <row r="16" spans="1:27" ht="21.75" customHeight="1" x14ac:dyDescent="0.25">
      <c r="A16" s="185"/>
      <c r="B16" s="185"/>
      <c r="C16" s="185"/>
      <c r="D16" s="185"/>
      <c r="F16" s="185"/>
      <c r="G16" s="185"/>
      <c r="H16" s="185"/>
      <c r="I16" s="185"/>
    </row>
    <row r="17" spans="1:9" ht="22.5" customHeight="1" x14ac:dyDescent="0.25">
      <c r="A17" s="185"/>
      <c r="B17" s="185"/>
      <c r="C17" s="185"/>
      <c r="D17" s="185"/>
      <c r="F17" s="185"/>
      <c r="G17" s="185"/>
      <c r="H17" s="185"/>
      <c r="I17" s="185"/>
    </row>
    <row r="18" spans="1:9" s="185" customFormat="1" x14ac:dyDescent="0.25"/>
    <row r="19" spans="1:9" s="185" customFormat="1" x14ac:dyDescent="0.25"/>
    <row r="20" spans="1:9" s="185" customFormat="1" ht="15" customHeight="1" x14ac:dyDescent="0.25"/>
    <row r="21" spans="1:9" s="185" customFormat="1" x14ac:dyDescent="0.25"/>
    <row r="22" spans="1:9" s="185" customFormat="1" x14ac:dyDescent="0.25"/>
    <row r="23" spans="1:9" s="185" customFormat="1" x14ac:dyDescent="0.25"/>
    <row r="24" spans="1:9" s="185" customFormat="1" x14ac:dyDescent="0.25"/>
    <row r="25" spans="1:9" s="185" customFormat="1" x14ac:dyDescent="0.25"/>
    <row r="26" spans="1:9" s="185" customFormat="1" x14ac:dyDescent="0.25"/>
    <row r="27" spans="1:9" s="185" customFormat="1" x14ac:dyDescent="0.25"/>
    <row r="28" spans="1:9" s="185" customFormat="1" x14ac:dyDescent="0.25"/>
    <row r="29" spans="1:9" s="185" customFormat="1" x14ac:dyDescent="0.25">
      <c r="A29" s="276"/>
      <c r="B29" s="276"/>
    </row>
    <row r="30" spans="1:9" s="185" customFormat="1" x14ac:dyDescent="0.25"/>
    <row r="31" spans="1:9" s="185" customFormat="1" x14ac:dyDescent="0.25">
      <c r="A31" s="277"/>
      <c r="B31" s="277"/>
    </row>
    <row r="32" spans="1:9" s="185" customFormat="1" x14ac:dyDescent="0.25">
      <c r="A32" s="278"/>
      <c r="B32" s="278"/>
    </row>
    <row r="33" spans="1:6" s="185" customFormat="1" x14ac:dyDescent="0.25"/>
    <row r="34" spans="1:6" s="185" customFormat="1" x14ac:dyDescent="0.25">
      <c r="F34" s="279"/>
    </row>
    <row r="35" spans="1:6" s="185" customFormat="1" x14ac:dyDescent="0.25">
      <c r="A35" s="280"/>
      <c r="B35" s="280"/>
    </row>
    <row r="36" spans="1:6" s="185" customFormat="1" x14ac:dyDescent="0.25"/>
    <row r="37" spans="1:6" s="185" customFormat="1" x14ac:dyDescent="0.25"/>
    <row r="38" spans="1:6" s="185" customFormat="1" x14ac:dyDescent="0.25"/>
    <row r="39" spans="1:6" s="185" customFormat="1" x14ac:dyDescent="0.25"/>
    <row r="40" spans="1:6" s="185" customFormat="1" x14ac:dyDescent="0.25"/>
    <row r="41" spans="1:6" s="185" customFormat="1" x14ac:dyDescent="0.25"/>
  </sheetData>
  <mergeCells count="34">
    <mergeCell ref="K4:L4"/>
    <mergeCell ref="M4:N4"/>
    <mergeCell ref="K7:N7"/>
    <mergeCell ref="K8:L8"/>
    <mergeCell ref="M8:N8"/>
    <mergeCell ref="A10:B10"/>
    <mergeCell ref="C10:D10"/>
    <mergeCell ref="A7:D7"/>
    <mergeCell ref="K10:L10"/>
    <mergeCell ref="M10:N10"/>
    <mergeCell ref="K1:N1"/>
    <mergeCell ref="K2:L2"/>
    <mergeCell ref="M2:N2"/>
    <mergeCell ref="A3:B3"/>
    <mergeCell ref="C3:D3"/>
    <mergeCell ref="F2:G2"/>
    <mergeCell ref="A2:B2"/>
    <mergeCell ref="C2:D2"/>
    <mergeCell ref="A4:B4"/>
    <mergeCell ref="C4:D4"/>
    <mergeCell ref="A1:D1"/>
    <mergeCell ref="F8:G8"/>
    <mergeCell ref="F11:G11"/>
    <mergeCell ref="F1:I1"/>
    <mergeCell ref="H2:I2"/>
    <mergeCell ref="H4:I4"/>
    <mergeCell ref="H5:I5"/>
    <mergeCell ref="F10:G10"/>
    <mergeCell ref="H10:I10"/>
    <mergeCell ref="H8:I8"/>
    <mergeCell ref="F7:I7"/>
    <mergeCell ref="F4:G4"/>
    <mergeCell ref="A8:B8"/>
    <mergeCell ref="C8:D8"/>
  </mergeCells>
  <conditionalFormatting sqref="G3">
    <cfRule type="expression" priority="1">
      <formula>TEXT(G3,$A$31)</formula>
    </cfRule>
    <cfRule type="expression" dxfId="137" priority="2">
      <formula>IF(E14="ha",TRUE)</formula>
    </cfRule>
    <cfRule type="expression" dxfId="136" priority="3">
      <formula>IF(E14="mz",TRUE)</formula>
    </cfRule>
  </conditionalFormatting>
  <dataValidations count="2">
    <dataValidation type="list" allowBlank="1" showInputMessage="1" showErrorMessage="1" sqref="H5">
      <formula1>nivel.manejo</formula1>
    </dataValidation>
    <dataValidation type="list" allowBlank="1" showInputMessage="1" showErrorMessage="1" sqref="F11">
      <formula1>"alto,regular,bajo"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4"/>
  <sheetViews>
    <sheetView zoomScaleNormal="100" workbookViewId="0">
      <selection activeCell="C4" sqref="C4"/>
    </sheetView>
  </sheetViews>
  <sheetFormatPr baseColWidth="10" defaultRowHeight="15" x14ac:dyDescent="0.25"/>
  <cols>
    <col min="1" max="1" width="51.140625" style="171" customWidth="1"/>
    <col min="2" max="2" width="19.5703125" style="171" customWidth="1"/>
    <col min="3" max="3" width="20.28515625" style="171" customWidth="1"/>
    <col min="4" max="4" width="26.7109375" style="171" hidden="1" customWidth="1"/>
    <col min="5" max="5" width="11.42578125" style="171" hidden="1" customWidth="1"/>
    <col min="6" max="6" width="12.7109375" style="171" hidden="1" customWidth="1"/>
    <col min="7" max="7" width="11.42578125" style="171" hidden="1" customWidth="1"/>
    <col min="8" max="8" width="11.28515625" style="171" hidden="1" customWidth="1"/>
    <col min="9" max="9" width="10.85546875" style="171" hidden="1" customWidth="1"/>
    <col min="10" max="11" width="11.42578125" style="171" hidden="1" customWidth="1"/>
    <col min="12" max="12" width="11.42578125" style="237" customWidth="1"/>
    <col min="13" max="40" width="11.42578125" style="237"/>
    <col min="41" max="16384" width="11.42578125" style="171"/>
  </cols>
  <sheetData>
    <row r="1" spans="1:11" ht="33" customHeight="1" x14ac:dyDescent="0.25">
      <c r="A1" s="584" t="s">
        <v>261</v>
      </c>
      <c r="B1" s="356"/>
      <c r="C1" s="237"/>
    </row>
    <row r="2" spans="1:11" ht="17.25" hidden="1" customHeight="1" x14ac:dyDescent="0.3">
      <c r="A2" s="585" t="s">
        <v>99</v>
      </c>
      <c r="B2" s="586">
        <f>VLOOKUP(Economico!B16,tabla.da.manejo,2,FALSE)</f>
        <v>20</v>
      </c>
      <c r="C2" s="237"/>
    </row>
    <row r="3" spans="1:11" ht="19.5" hidden="1" customHeight="1" x14ac:dyDescent="0.3">
      <c r="A3" s="585" t="s">
        <v>100</v>
      </c>
      <c r="B3" s="586">
        <f>'Sistema de produccion'!M3</f>
        <v>4</v>
      </c>
      <c r="C3" s="237"/>
    </row>
    <row r="4" spans="1:11" ht="20.25" customHeight="1" x14ac:dyDescent="0.3">
      <c r="A4" s="213" t="s">
        <v>126</v>
      </c>
      <c r="B4" s="214">
        <v>25</v>
      </c>
      <c r="C4" s="237" t="s">
        <v>280</v>
      </c>
    </row>
    <row r="5" spans="1:11" s="237" customFormat="1" ht="28.5" customHeight="1" x14ac:dyDescent="0.25">
      <c r="A5" s="211"/>
    </row>
    <row r="6" spans="1:11" s="237" customFormat="1" ht="37.5" x14ac:dyDescent="0.25">
      <c r="A6" s="270"/>
      <c r="B6" s="268" t="s">
        <v>236</v>
      </c>
      <c r="C6" s="268" t="s">
        <v>237</v>
      </c>
    </row>
    <row r="7" spans="1:11" ht="18.75" customHeight="1" x14ac:dyDescent="0.25">
      <c r="A7" s="236" t="s">
        <v>168</v>
      </c>
      <c r="B7" s="269" t="str">
        <f>CONCATENATE("dias-hombre/",ua)</f>
        <v>dias-hombre/ha</v>
      </c>
      <c r="C7" s="269" t="str">
        <f>CONCATENATE(ud,"/",ua)</f>
        <v>$/ha</v>
      </c>
      <c r="D7" s="237"/>
      <c r="E7" s="237"/>
      <c r="F7" s="237"/>
      <c r="G7" s="237"/>
      <c r="H7" s="237"/>
      <c r="I7" s="237"/>
      <c r="J7" s="237"/>
      <c r="K7" s="237"/>
    </row>
    <row r="8" spans="1:11" ht="18.75" x14ac:dyDescent="0.3">
      <c r="A8" s="215" t="s">
        <v>163</v>
      </c>
      <c r="B8" s="216">
        <v>0</v>
      </c>
      <c r="C8" s="271">
        <v>0</v>
      </c>
      <c r="D8" s="237"/>
      <c r="E8" s="237"/>
      <c r="F8" s="237"/>
      <c r="G8" s="237"/>
      <c r="H8" s="237"/>
      <c r="I8" s="237"/>
      <c r="J8" s="237"/>
      <c r="K8" s="237"/>
    </row>
    <row r="9" spans="1:11" ht="18.75" x14ac:dyDescent="0.3">
      <c r="A9" s="215" t="s">
        <v>158</v>
      </c>
      <c r="B9" s="216">
        <v>5</v>
      </c>
      <c r="C9" s="271">
        <v>50</v>
      </c>
      <c r="D9" s="237"/>
      <c r="E9" s="237"/>
      <c r="F9" s="237"/>
      <c r="G9" s="237"/>
      <c r="H9" s="237"/>
      <c r="I9" s="237"/>
      <c r="J9" s="237"/>
      <c r="K9" s="237"/>
    </row>
    <row r="10" spans="1:11" ht="18.75" x14ac:dyDescent="0.3">
      <c r="A10" s="215" t="s">
        <v>164</v>
      </c>
      <c r="B10" s="216">
        <v>10</v>
      </c>
      <c r="C10" s="271">
        <v>100</v>
      </c>
      <c r="D10" s="237"/>
      <c r="E10" s="237"/>
      <c r="F10" s="237"/>
      <c r="G10" s="237"/>
      <c r="H10" s="237"/>
      <c r="I10" s="237"/>
      <c r="J10" s="237"/>
      <c r="K10" s="237"/>
    </row>
    <row r="11" spans="1:11" ht="18.75" x14ac:dyDescent="0.3">
      <c r="A11" s="215" t="s">
        <v>165</v>
      </c>
      <c r="B11" s="216">
        <v>15</v>
      </c>
      <c r="C11" s="271">
        <v>200</v>
      </c>
      <c r="D11" s="237"/>
      <c r="E11" s="237"/>
      <c r="F11" s="237"/>
      <c r="G11" s="237"/>
      <c r="H11" s="237"/>
      <c r="I11" s="237"/>
      <c r="J11" s="237"/>
      <c r="K11" s="237"/>
    </row>
    <row r="12" spans="1:11" ht="18.75" x14ac:dyDescent="0.3">
      <c r="A12" s="215" t="s">
        <v>166</v>
      </c>
      <c r="B12" s="216">
        <v>20</v>
      </c>
      <c r="C12" s="271">
        <v>350</v>
      </c>
      <c r="D12" s="237"/>
      <c r="E12" s="237"/>
      <c r="F12" s="237"/>
      <c r="G12" s="237"/>
      <c r="H12" s="237"/>
      <c r="I12" s="237"/>
      <c r="J12" s="237"/>
      <c r="K12" s="237"/>
    </row>
    <row r="13" spans="1:11" s="237" customFormat="1" ht="23.25" hidden="1" customHeight="1" x14ac:dyDescent="0.25">
      <c r="D13" s="239"/>
      <c r="E13" s="238"/>
      <c r="F13" s="238"/>
      <c r="G13" s="238"/>
      <c r="H13" s="238"/>
      <c r="I13" s="238"/>
      <c r="J13" s="211"/>
      <c r="K13" s="211"/>
    </row>
    <row r="14" spans="1:11" s="237" customFormat="1" hidden="1" x14ac:dyDescent="0.25">
      <c r="A14" s="240"/>
      <c r="B14" s="211"/>
      <c r="D14" s="241"/>
      <c r="I14" s="242"/>
    </row>
    <row r="15" spans="1:11" s="237" customFormat="1" hidden="1" x14ac:dyDescent="0.25">
      <c r="A15" s="243" t="s">
        <v>163</v>
      </c>
      <c r="B15" s="211">
        <f>C8</f>
        <v>0</v>
      </c>
      <c r="D15" s="241"/>
      <c r="E15" s="242"/>
      <c r="F15" s="242"/>
      <c r="G15" s="242"/>
      <c r="H15" s="242"/>
      <c r="I15" s="242"/>
    </row>
    <row r="16" spans="1:11" s="237" customFormat="1" hidden="1" x14ac:dyDescent="0.25">
      <c r="A16" s="243" t="s">
        <v>158</v>
      </c>
      <c r="B16" s="211">
        <f>C9</f>
        <v>50</v>
      </c>
      <c r="D16" s="241"/>
      <c r="I16" s="244"/>
    </row>
    <row r="17" spans="1:11" s="237" customFormat="1" hidden="1" x14ac:dyDescent="0.25">
      <c r="A17" s="243" t="s">
        <v>164</v>
      </c>
      <c r="B17" s="211">
        <f>C10</f>
        <v>100</v>
      </c>
    </row>
    <row r="18" spans="1:11" s="237" customFormat="1" hidden="1" x14ac:dyDescent="0.25">
      <c r="A18" s="243" t="s">
        <v>165</v>
      </c>
      <c r="B18" s="211">
        <f>C11</f>
        <v>200</v>
      </c>
    </row>
    <row r="19" spans="1:11" s="237" customFormat="1" hidden="1" x14ac:dyDescent="0.25">
      <c r="A19" s="243" t="s">
        <v>166</v>
      </c>
      <c r="B19" s="211">
        <f>C12</f>
        <v>350</v>
      </c>
      <c r="D19" s="237" t="s">
        <v>260</v>
      </c>
    </row>
    <row r="20" spans="1:11" s="237" customFormat="1" x14ac:dyDescent="0.25">
      <c r="A20" s="211"/>
      <c r="B20" s="211"/>
    </row>
    <row r="21" spans="1:11" s="237" customFormat="1" x14ac:dyDescent="0.25">
      <c r="A21" s="211"/>
      <c r="B21" s="211"/>
    </row>
    <row r="22" spans="1:11" s="237" customFormat="1" ht="23.25" x14ac:dyDescent="0.25">
      <c r="A22" s="236" t="s">
        <v>259</v>
      </c>
      <c r="B22" s="269" t="s">
        <v>172</v>
      </c>
    </row>
    <row r="23" spans="1:11" s="237" customFormat="1" ht="18.75" x14ac:dyDescent="0.3">
      <c r="A23" s="215" t="s">
        <v>166</v>
      </c>
      <c r="B23" s="216">
        <v>1.5</v>
      </c>
    </row>
    <row r="24" spans="1:11" s="237" customFormat="1" ht="18.75" x14ac:dyDescent="0.3">
      <c r="A24" s="215" t="s">
        <v>170</v>
      </c>
      <c r="B24" s="216">
        <v>1</v>
      </c>
    </row>
    <row r="25" spans="1:11" s="237" customFormat="1" ht="18.75" x14ac:dyDescent="0.3">
      <c r="A25" s="215" t="s">
        <v>164</v>
      </c>
      <c r="B25" s="216">
        <v>0.67</v>
      </c>
    </row>
    <row r="26" spans="1:11" s="237" customFormat="1" x14ac:dyDescent="0.25"/>
    <row r="27" spans="1:11" s="237" customFormat="1" x14ac:dyDescent="0.25"/>
    <row r="28" spans="1:11" s="237" customFormat="1" ht="45" hidden="1" x14ac:dyDescent="0.25">
      <c r="D28" s="311" t="s">
        <v>246</v>
      </c>
      <c r="E28" s="288"/>
      <c r="F28" s="289" t="s">
        <v>171</v>
      </c>
      <c r="G28" s="290" t="s">
        <v>93</v>
      </c>
      <c r="H28" s="290" t="s">
        <v>94</v>
      </c>
      <c r="I28" s="290" t="s">
        <v>95</v>
      </c>
      <c r="J28" s="290" t="s">
        <v>96</v>
      </c>
      <c r="K28" s="291" t="s">
        <v>122</v>
      </c>
    </row>
    <row r="29" spans="1:11" s="237" customFormat="1" hidden="1" x14ac:dyDescent="0.25">
      <c r="D29" s="288"/>
      <c r="E29" s="292" t="s">
        <v>125</v>
      </c>
      <c r="F29" s="312">
        <f>rendimiento.esperado*area.prod</f>
        <v>60</v>
      </c>
      <c r="G29" s="293">
        <f ca="1">rendimiento.esperado*area.prod*(1-(Economico!B38-roya.historico)/200)</f>
        <v>57.075000000000003</v>
      </c>
      <c r="H29" s="293">
        <f ca="1">rendimiento.esperado*area.prod*(1-(Economico!C38-roya.historico)/200)</f>
        <v>54.421353085714287</v>
      </c>
      <c r="I29" s="293">
        <f ca="1">rendimiento.esperado*area.prod*(1-(Economico!D38-roya.historico)/200)</f>
        <v>66.229285714285709</v>
      </c>
      <c r="J29" s="293">
        <f ca="1">rendimiento.esperado*area.prod*(1-(Economico!E38-roya.historico)/200)</f>
        <v>50.123984871428576</v>
      </c>
      <c r="K29" s="293">
        <f>rendimiento.esperado*area.prod*(1-(Economico!F38-roya.historico)/200)</f>
        <v>70.199999999999989</v>
      </c>
    </row>
    <row r="30" spans="1:11" s="237" customFormat="1" hidden="1" x14ac:dyDescent="0.25">
      <c r="D30" s="288"/>
      <c r="E30" s="292" t="s">
        <v>130</v>
      </c>
      <c r="F30" s="298">
        <f>F29*$B$3</f>
        <v>240</v>
      </c>
      <c r="G30" s="293">
        <f ca="1">G29*$B$3</f>
        <v>228.3</v>
      </c>
      <c r="H30" s="293">
        <f t="shared" ref="H30:K30" ca="1" si="0">H29*$B$3</f>
        <v>217.68541234285715</v>
      </c>
      <c r="I30" s="293">
        <f t="shared" ca="1" si="0"/>
        <v>264.91714285714284</v>
      </c>
      <c r="J30" s="293">
        <f t="shared" ca="1" si="0"/>
        <v>200.4959394857143</v>
      </c>
      <c r="K30" s="293">
        <f t="shared" si="0"/>
        <v>280.79999999999995</v>
      </c>
    </row>
    <row r="31" spans="1:11" s="237" customFormat="1" hidden="1" x14ac:dyDescent="0.25">
      <c r="D31" s="288"/>
      <c r="E31" s="292" t="s">
        <v>167</v>
      </c>
      <c r="F31" s="298">
        <f t="shared" ref="F31:K31" si="1">nb.mois.cosecha*(mano.obra.familia+nb.peones)*$B$4</f>
        <v>225</v>
      </c>
      <c r="G31" s="288">
        <f t="shared" si="1"/>
        <v>225</v>
      </c>
      <c r="H31" s="288">
        <f t="shared" si="1"/>
        <v>225</v>
      </c>
      <c r="I31" s="288">
        <f t="shared" si="1"/>
        <v>225</v>
      </c>
      <c r="J31" s="288">
        <f t="shared" si="1"/>
        <v>225</v>
      </c>
      <c r="K31" s="288">
        <f t="shared" si="1"/>
        <v>225</v>
      </c>
    </row>
    <row r="32" spans="1:11" s="237" customFormat="1" hidden="1" x14ac:dyDescent="0.25">
      <c r="D32" s="288"/>
      <c r="E32" s="294" t="s">
        <v>123</v>
      </c>
      <c r="F32" s="298">
        <f>MAX(0,F30-F31)</f>
        <v>15</v>
      </c>
      <c r="G32" s="295">
        <f ca="1">MAX(0,G30-G31)</f>
        <v>3.3000000000000114</v>
      </c>
      <c r="H32" s="295">
        <f t="shared" ref="H32:K32" ca="1" si="2">MAX(0,H30-H31)</f>
        <v>0</v>
      </c>
      <c r="I32" s="295">
        <f t="shared" ca="1" si="2"/>
        <v>39.917142857142835</v>
      </c>
      <c r="J32" s="295">
        <f t="shared" ca="1" si="2"/>
        <v>0</v>
      </c>
      <c r="K32" s="295">
        <f t="shared" si="2"/>
        <v>55.799999999999955</v>
      </c>
    </row>
    <row r="33" spans="4:11" s="237" customFormat="1" hidden="1" x14ac:dyDescent="0.25">
      <c r="D33" s="296"/>
      <c r="E33" s="297" t="s">
        <v>129</v>
      </c>
      <c r="F33" s="298">
        <f t="shared" ref="F33:K33" si="3">$B$2*area.prod</f>
        <v>40</v>
      </c>
      <c r="G33" s="299">
        <f t="shared" si="3"/>
        <v>40</v>
      </c>
      <c r="H33" s="300">
        <f t="shared" si="3"/>
        <v>40</v>
      </c>
      <c r="I33" s="301">
        <f t="shared" si="3"/>
        <v>40</v>
      </c>
      <c r="J33" s="302">
        <f t="shared" si="3"/>
        <v>40</v>
      </c>
      <c r="K33" s="303">
        <f t="shared" si="3"/>
        <v>40</v>
      </c>
    </row>
    <row r="34" spans="4:11" s="237" customFormat="1" hidden="1" x14ac:dyDescent="0.25">
      <c r="D34" s="296"/>
      <c r="E34" s="297" t="s">
        <v>128</v>
      </c>
      <c r="F34" s="298">
        <f t="shared" ref="F34:K34" si="4">(12-nb.mois.cosecha)*$B$4</f>
        <v>225</v>
      </c>
      <c r="G34" s="299">
        <f t="shared" si="4"/>
        <v>225</v>
      </c>
      <c r="H34" s="300">
        <f t="shared" si="4"/>
        <v>225</v>
      </c>
      <c r="I34" s="301">
        <f t="shared" si="4"/>
        <v>225</v>
      </c>
      <c r="J34" s="302">
        <f t="shared" si="4"/>
        <v>225</v>
      </c>
      <c r="K34" s="303">
        <f t="shared" si="4"/>
        <v>225</v>
      </c>
    </row>
    <row r="35" spans="4:11" s="237" customFormat="1" hidden="1" x14ac:dyDescent="0.25">
      <c r="D35" s="296"/>
      <c r="E35" s="304" t="s">
        <v>124</v>
      </c>
      <c r="F35" s="298">
        <f>MAX(0,F33-F34)</f>
        <v>0</v>
      </c>
      <c r="G35" s="305">
        <f>MAX(0,G33-G34)</f>
        <v>0</v>
      </c>
      <c r="H35" s="306">
        <f t="shared" ref="H35:K35" si="5">MAX(0,H33-H34)</f>
        <v>0</v>
      </c>
      <c r="I35" s="307">
        <f t="shared" si="5"/>
        <v>0</v>
      </c>
      <c r="J35" s="308">
        <f t="shared" si="5"/>
        <v>0</v>
      </c>
      <c r="K35" s="309">
        <f t="shared" si="5"/>
        <v>0</v>
      </c>
    </row>
    <row r="36" spans="4:11" s="237" customFormat="1" hidden="1" x14ac:dyDescent="0.25">
      <c r="D36" s="296"/>
      <c r="E36" s="304" t="s">
        <v>127</v>
      </c>
      <c r="F36" s="298">
        <f>F35+F32</f>
        <v>15</v>
      </c>
      <c r="G36" s="305">
        <f ca="1">G35+G32</f>
        <v>3.3000000000000114</v>
      </c>
      <c r="H36" s="306">
        <f t="shared" ref="H36:K36" ca="1" si="6">H35+H32</f>
        <v>0</v>
      </c>
      <c r="I36" s="307">
        <f t="shared" ca="1" si="6"/>
        <v>39.917142857142835</v>
      </c>
      <c r="J36" s="308">
        <f t="shared" ca="1" si="6"/>
        <v>0</v>
      </c>
      <c r="K36" s="309">
        <f t="shared" si="6"/>
        <v>55.799999999999955</v>
      </c>
    </row>
    <row r="37" spans="4:11" s="237" customFormat="1" hidden="1" x14ac:dyDescent="0.25">
      <c r="D37" s="9"/>
      <c r="E37" s="9"/>
      <c r="F37" s="9"/>
      <c r="G37" s="9"/>
      <c r="H37" s="9"/>
      <c r="I37" s="9"/>
      <c r="J37" s="9"/>
      <c r="K37" s="9"/>
    </row>
    <row r="38" spans="4:11" s="237" customFormat="1" ht="45" hidden="1" x14ac:dyDescent="0.25">
      <c r="D38" s="311" t="s">
        <v>247</v>
      </c>
      <c r="E38" s="288"/>
      <c r="F38" s="289" t="s">
        <v>171</v>
      </c>
      <c r="G38" s="290" t="s">
        <v>93</v>
      </c>
      <c r="H38" s="290" t="s">
        <v>94</v>
      </c>
      <c r="I38" s="290" t="s">
        <v>95</v>
      </c>
      <c r="J38" s="290" t="s">
        <v>96</v>
      </c>
      <c r="K38" s="291" t="s">
        <v>122</v>
      </c>
    </row>
    <row r="39" spans="4:11" s="237" customFormat="1" hidden="1" x14ac:dyDescent="0.25">
      <c r="D39" s="288"/>
      <c r="E39" s="292" t="s">
        <v>125</v>
      </c>
      <c r="F39" s="298">
        <f>rendimiento.esperado*area.prod</f>
        <v>60</v>
      </c>
      <c r="G39" s="293">
        <f ca="1">rendimiento.esperado*area.prod*(1-(Economico!B67-roya.historico)/100)</f>
        <v>54.15</v>
      </c>
      <c r="H39" s="293">
        <f ca="1">rendimiento.esperado*area.prod*(1-(Economico!C67-roya.historico)/100)</f>
        <v>48.842706171428574</v>
      </c>
      <c r="I39" s="293">
        <f ca="1">rendimiento.esperado*area.prod*(1-(Economico!D67-roya.historico)/100)</f>
        <v>72.458571428571432</v>
      </c>
      <c r="J39" s="293">
        <f ca="1">rendimiento.esperado*area.prod*(1-(Economico!E67-roya.historico)/100)</f>
        <v>40.247969742857144</v>
      </c>
      <c r="K39" s="293">
        <f>rendimiento.esperado*area.prod*(1-(Economico!F67-roya.historico)/100)</f>
        <v>80.400000000000006</v>
      </c>
    </row>
    <row r="40" spans="4:11" s="237" customFormat="1" hidden="1" x14ac:dyDescent="0.25">
      <c r="D40" s="288"/>
      <c r="E40" s="292" t="s">
        <v>130</v>
      </c>
      <c r="F40" s="298">
        <f>F39*$B$3</f>
        <v>240</v>
      </c>
      <c r="G40" s="293">
        <f ca="1">G39*$B$3</f>
        <v>216.6</v>
      </c>
      <c r="H40" s="293">
        <f t="shared" ref="H40:K40" ca="1" si="7">H39*$B$3</f>
        <v>195.3708246857143</v>
      </c>
      <c r="I40" s="293">
        <f t="shared" ca="1" si="7"/>
        <v>289.83428571428573</v>
      </c>
      <c r="J40" s="293">
        <f t="shared" ca="1" si="7"/>
        <v>160.99187897142858</v>
      </c>
      <c r="K40" s="293">
        <f t="shared" si="7"/>
        <v>321.60000000000002</v>
      </c>
    </row>
    <row r="41" spans="4:11" s="237" customFormat="1" hidden="1" x14ac:dyDescent="0.25">
      <c r="D41" s="288"/>
      <c r="E41" s="292" t="s">
        <v>167</v>
      </c>
      <c r="F41" s="298">
        <f t="shared" ref="F41:K41" si="8">nb.mois.cosecha*(mano.obra.familia+nb.peones)*$B$4</f>
        <v>225</v>
      </c>
      <c r="G41" s="288">
        <f t="shared" si="8"/>
        <v>225</v>
      </c>
      <c r="H41" s="288">
        <f t="shared" si="8"/>
        <v>225</v>
      </c>
      <c r="I41" s="288">
        <f t="shared" si="8"/>
        <v>225</v>
      </c>
      <c r="J41" s="288">
        <f t="shared" si="8"/>
        <v>225</v>
      </c>
      <c r="K41" s="288">
        <f t="shared" si="8"/>
        <v>225</v>
      </c>
    </row>
    <row r="42" spans="4:11" s="237" customFormat="1" hidden="1" x14ac:dyDescent="0.25">
      <c r="D42" s="288"/>
      <c r="E42" s="294" t="s">
        <v>123</v>
      </c>
      <c r="F42" s="298">
        <f>MAX(0,F40-F41)</f>
        <v>15</v>
      </c>
      <c r="G42" s="295">
        <f ca="1">MAX(0,G40-G41)</f>
        <v>0</v>
      </c>
      <c r="H42" s="295">
        <f t="shared" ref="H42:K42" ca="1" si="9">MAX(0,H40-H41)</f>
        <v>0</v>
      </c>
      <c r="I42" s="295">
        <f t="shared" ca="1" si="9"/>
        <v>64.834285714285727</v>
      </c>
      <c r="J42" s="295">
        <f t="shared" ca="1" si="9"/>
        <v>0</v>
      </c>
      <c r="K42" s="295">
        <f t="shared" si="9"/>
        <v>96.600000000000023</v>
      </c>
    </row>
    <row r="43" spans="4:11" s="237" customFormat="1" hidden="1" x14ac:dyDescent="0.25">
      <c r="D43" s="296"/>
      <c r="E43" s="297" t="s">
        <v>129</v>
      </c>
      <c r="F43" s="298">
        <f t="shared" ref="F43:K43" si="10">$B$2*area.prod</f>
        <v>40</v>
      </c>
      <c r="G43" s="299">
        <f t="shared" si="10"/>
        <v>40</v>
      </c>
      <c r="H43" s="300">
        <f t="shared" si="10"/>
        <v>40</v>
      </c>
      <c r="I43" s="301">
        <f t="shared" si="10"/>
        <v>40</v>
      </c>
      <c r="J43" s="302">
        <f t="shared" si="10"/>
        <v>40</v>
      </c>
      <c r="K43" s="303">
        <f t="shared" si="10"/>
        <v>40</v>
      </c>
    </row>
    <row r="44" spans="4:11" s="237" customFormat="1" hidden="1" x14ac:dyDescent="0.25">
      <c r="D44" s="296"/>
      <c r="E44" s="297" t="s">
        <v>128</v>
      </c>
      <c r="F44" s="298">
        <f t="shared" ref="F44:K44" si="11">(12-nb.mois.cosecha)*$B$4</f>
        <v>225</v>
      </c>
      <c r="G44" s="299">
        <f t="shared" si="11"/>
        <v>225</v>
      </c>
      <c r="H44" s="300">
        <f t="shared" si="11"/>
        <v>225</v>
      </c>
      <c r="I44" s="301">
        <f t="shared" si="11"/>
        <v>225</v>
      </c>
      <c r="J44" s="302">
        <f t="shared" si="11"/>
        <v>225</v>
      </c>
      <c r="K44" s="303">
        <f t="shared" si="11"/>
        <v>225</v>
      </c>
    </row>
    <row r="45" spans="4:11" s="237" customFormat="1" hidden="1" x14ac:dyDescent="0.25">
      <c r="D45" s="296"/>
      <c r="E45" s="304" t="s">
        <v>124</v>
      </c>
      <c r="F45" s="298">
        <f>MAX(0,F43-F44)</f>
        <v>0</v>
      </c>
      <c r="G45" s="305">
        <f>MAX(0,G43-G44)</f>
        <v>0</v>
      </c>
      <c r="H45" s="306">
        <f t="shared" ref="H45:K45" si="12">MAX(0,H43-H44)</f>
        <v>0</v>
      </c>
      <c r="I45" s="307">
        <f t="shared" si="12"/>
        <v>0</v>
      </c>
      <c r="J45" s="308">
        <f t="shared" si="12"/>
        <v>0</v>
      </c>
      <c r="K45" s="309">
        <f t="shared" si="12"/>
        <v>0</v>
      </c>
    </row>
    <row r="46" spans="4:11" s="237" customFormat="1" hidden="1" x14ac:dyDescent="0.25">
      <c r="D46" s="296"/>
      <c r="E46" s="304" t="s">
        <v>127</v>
      </c>
      <c r="F46" s="298">
        <f>F45+F42</f>
        <v>15</v>
      </c>
      <c r="G46" s="305">
        <f ca="1">G45+G42</f>
        <v>0</v>
      </c>
      <c r="H46" s="306">
        <f t="shared" ref="H46:K46" ca="1" si="13">H45+H42</f>
        <v>0</v>
      </c>
      <c r="I46" s="307">
        <f t="shared" ca="1" si="13"/>
        <v>64.834285714285727</v>
      </c>
      <c r="J46" s="308">
        <f t="shared" ca="1" si="13"/>
        <v>0</v>
      </c>
      <c r="K46" s="309">
        <f t="shared" si="13"/>
        <v>96.600000000000023</v>
      </c>
    </row>
    <row r="47" spans="4:11" s="237" customFormat="1" hidden="1" x14ac:dyDescent="0.25"/>
    <row r="48" spans="4:11" s="237" customFormat="1" hidden="1" x14ac:dyDescent="0.25"/>
    <row r="49" spans="1:11" s="237" customFormat="1" x14ac:dyDescent="0.25"/>
    <row r="50" spans="1:11" s="237" customFormat="1" x14ac:dyDescent="0.25"/>
    <row r="51" spans="1:11" s="237" customFormat="1" x14ac:dyDescent="0.25"/>
    <row r="52" spans="1:11" s="237" customFormat="1" x14ac:dyDescent="0.25"/>
    <row r="53" spans="1:11" s="237" customFormat="1" x14ac:dyDescent="0.25"/>
    <row r="54" spans="1:11" s="237" customFormat="1" x14ac:dyDescent="0.25"/>
    <row r="55" spans="1:11" s="237" customFormat="1" x14ac:dyDescent="0.25"/>
    <row r="56" spans="1:11" s="237" customFormat="1" x14ac:dyDescent="0.25"/>
    <row r="57" spans="1:11" s="237" customFormat="1" x14ac:dyDescent="0.25"/>
    <row r="58" spans="1:11" s="237" customFormat="1" x14ac:dyDescent="0.25"/>
    <row r="59" spans="1:11" x14ac:dyDescent="0.25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</row>
    <row r="60" spans="1:11" x14ac:dyDescent="0.25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</row>
    <row r="61" spans="1:11" x14ac:dyDescent="0.25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</row>
    <row r="62" spans="1:11" x14ac:dyDescent="0.25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</row>
    <row r="63" spans="1:11" x14ac:dyDescent="0.25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</row>
    <row r="64" spans="1:11" x14ac:dyDescent="0.25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</row>
    <row r="65" spans="1:11" x14ac:dyDescent="0.25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</row>
    <row r="66" spans="1:11" x14ac:dyDescent="0.25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</row>
    <row r="67" spans="1:11" x14ac:dyDescent="0.25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</row>
    <row r="68" spans="1:11" x14ac:dyDescent="0.25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</row>
    <row r="69" spans="1:11" x14ac:dyDescent="0.25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</row>
    <row r="70" spans="1:11" x14ac:dyDescent="0.25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</row>
    <row r="71" spans="1:11" x14ac:dyDescent="0.25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</row>
    <row r="72" spans="1:11" x14ac:dyDescent="0.25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</row>
    <row r="73" spans="1:11" x14ac:dyDescent="0.25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</row>
    <row r="74" spans="1:11" x14ac:dyDescent="0.25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18.42578125" customWidth="1"/>
    <col min="2" max="2" width="22.85546875" customWidth="1"/>
    <col min="3" max="3" width="24.85546875" customWidth="1"/>
  </cols>
  <sheetData>
    <row r="1" spans="1:3" ht="41.25" customHeight="1" x14ac:dyDescent="0.35">
      <c r="A1" s="172" t="str">
        <f>'Sistema de produccion'!A3</f>
        <v>USULUTAN</v>
      </c>
      <c r="B1" s="512" t="str">
        <f>'Sistema de produccion'!C3</f>
        <v>Familiar</v>
      </c>
      <c r="C1" s="513"/>
    </row>
    <row r="2" spans="1:3" ht="18.75" x14ac:dyDescent="0.25">
      <c r="A2" s="509" t="s">
        <v>159</v>
      </c>
      <c r="B2" s="510"/>
      <c r="C2" s="511"/>
    </row>
    <row r="3" spans="1:3" ht="23.25" x14ac:dyDescent="0.25">
      <c r="A3" s="175" t="s">
        <v>6</v>
      </c>
      <c r="B3" s="175" t="s">
        <v>160</v>
      </c>
      <c r="C3" s="176" t="s">
        <v>274</v>
      </c>
    </row>
    <row r="4" spans="1:3" ht="18.75" x14ac:dyDescent="0.25">
      <c r="A4" s="177" t="s">
        <v>73</v>
      </c>
      <c r="B4" s="369">
        <v>30</v>
      </c>
      <c r="C4" s="369" t="s">
        <v>275</v>
      </c>
    </row>
    <row r="5" spans="1:3" ht="18.75" x14ac:dyDescent="0.25">
      <c r="A5" s="177" t="s">
        <v>74</v>
      </c>
      <c r="B5" s="369">
        <v>12</v>
      </c>
      <c r="C5" s="369" t="s">
        <v>275</v>
      </c>
    </row>
    <row r="6" spans="1:3" ht="18.75" x14ac:dyDescent="0.25">
      <c r="A6" s="177" t="s">
        <v>75</v>
      </c>
      <c r="B6" s="369">
        <v>4</v>
      </c>
      <c r="C6" s="369" t="s">
        <v>275</v>
      </c>
    </row>
    <row r="7" spans="1:3" ht="18.75" x14ac:dyDescent="0.25">
      <c r="A7" s="177" t="s">
        <v>76</v>
      </c>
      <c r="B7" s="369">
        <v>1</v>
      </c>
      <c r="C7" s="369" t="s">
        <v>275</v>
      </c>
    </row>
    <row r="8" spans="1:3" ht="18.75" x14ac:dyDescent="0.25">
      <c r="A8" s="177" t="s">
        <v>77</v>
      </c>
      <c r="B8" s="369">
        <v>1</v>
      </c>
      <c r="C8" s="369" t="s">
        <v>275</v>
      </c>
    </row>
    <row r="9" spans="1:3" ht="18.75" x14ac:dyDescent="0.25">
      <c r="A9" s="177" t="s">
        <v>78</v>
      </c>
      <c r="B9" s="369">
        <v>4</v>
      </c>
      <c r="C9" s="369" t="s">
        <v>275</v>
      </c>
    </row>
    <row r="10" spans="1:3" ht="18.75" x14ac:dyDescent="0.25">
      <c r="A10" s="177" t="s">
        <v>79</v>
      </c>
      <c r="B10" s="369">
        <v>8</v>
      </c>
      <c r="C10" s="369" t="s">
        <v>276</v>
      </c>
    </row>
    <row r="11" spans="1:3" ht="18.75" x14ac:dyDescent="0.25">
      <c r="A11" s="177" t="s">
        <v>84</v>
      </c>
      <c r="B11" s="369">
        <v>15</v>
      </c>
      <c r="C11" s="369" t="s">
        <v>276</v>
      </c>
    </row>
    <row r="12" spans="1:3" ht="18.75" x14ac:dyDescent="0.25">
      <c r="A12" s="177" t="s">
        <v>80</v>
      </c>
      <c r="B12" s="369">
        <v>25</v>
      </c>
      <c r="C12" s="369" t="s">
        <v>276</v>
      </c>
    </row>
    <row r="13" spans="1:3" ht="18.75" x14ac:dyDescent="0.25">
      <c r="A13" s="177" t="s">
        <v>81</v>
      </c>
      <c r="B13" s="369">
        <v>35</v>
      </c>
      <c r="C13" s="369" t="s">
        <v>47</v>
      </c>
    </row>
    <row r="14" spans="1:3" ht="18.75" x14ac:dyDescent="0.25">
      <c r="A14" s="177" t="s">
        <v>82</v>
      </c>
      <c r="B14" s="369">
        <v>39</v>
      </c>
      <c r="C14" s="369" t="s">
        <v>47</v>
      </c>
    </row>
    <row r="15" spans="1:3" ht="18.75" x14ac:dyDescent="0.25">
      <c r="A15" s="177" t="s">
        <v>83</v>
      </c>
      <c r="B15" s="369">
        <v>35</v>
      </c>
      <c r="C15" s="369" t="s">
        <v>47</v>
      </c>
    </row>
  </sheetData>
  <mergeCells count="2">
    <mergeCell ref="A2:C2"/>
    <mergeCell ref="B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="80" zoomScaleNormal="80" workbookViewId="0">
      <selection activeCell="C4" sqref="C4"/>
    </sheetView>
  </sheetViews>
  <sheetFormatPr baseColWidth="10" defaultRowHeight="15" x14ac:dyDescent="0.25"/>
  <cols>
    <col min="1" max="1" width="23.5703125" customWidth="1"/>
    <col min="2" max="2" width="24.28515625" customWidth="1"/>
    <col min="3" max="3" width="29.7109375" customWidth="1"/>
    <col min="4" max="4" width="7.140625" style="211" hidden="1" customWidth="1"/>
    <col min="5" max="5" width="0.7109375" style="211" customWidth="1"/>
    <col min="6" max="6" width="14.85546875" style="9" customWidth="1"/>
    <col min="7" max="7" width="6.85546875" style="9" customWidth="1"/>
    <col min="8" max="8" width="13.5703125" style="9" customWidth="1"/>
    <col min="9" max="9" width="7.42578125" style="9" customWidth="1"/>
    <col min="10" max="10" width="15" style="9" customWidth="1"/>
    <col min="11" max="11" width="8.5703125" style="9" customWidth="1"/>
    <col min="12" max="12" width="0.7109375" style="217" customWidth="1"/>
    <col min="13" max="13" width="12.7109375" style="9" customWidth="1"/>
    <col min="14" max="14" width="7.42578125" style="9" customWidth="1"/>
    <col min="15" max="15" width="13.7109375" style="9" customWidth="1"/>
    <col min="16" max="16" width="7.42578125" style="9" customWidth="1"/>
    <col min="17" max="17" width="13" style="9" customWidth="1"/>
    <col min="18" max="18" width="7.5703125" style="9" customWidth="1"/>
    <col min="19" max="19" width="27.85546875" style="234" customWidth="1"/>
    <col min="20" max="41" width="11.42578125" style="234"/>
    <col min="42" max="51" width="11.42578125" style="185"/>
  </cols>
  <sheetData>
    <row r="1" spans="1:51" ht="31.5" customHeight="1" thickTop="1" thickBot="1" x14ac:dyDescent="0.4">
      <c r="A1" s="235" t="str">
        <f>'Sistema de produccion'!A3</f>
        <v>USULUTAN</v>
      </c>
      <c r="B1" s="529" t="str">
        <f>'Sistema de produccion'!C3</f>
        <v>Familiar</v>
      </c>
      <c r="C1" s="530"/>
      <c r="E1" s="217"/>
      <c r="F1" s="526" t="s">
        <v>189</v>
      </c>
      <c r="G1" s="527"/>
      <c r="H1" s="527"/>
      <c r="I1" s="527"/>
      <c r="J1" s="527"/>
      <c r="K1" s="528"/>
      <c r="M1" s="526" t="s">
        <v>184</v>
      </c>
      <c r="N1" s="527"/>
      <c r="O1" s="527"/>
      <c r="P1" s="527"/>
      <c r="Q1" s="527"/>
      <c r="R1" s="528"/>
    </row>
    <row r="2" spans="1:51" ht="19.5" thickTop="1" x14ac:dyDescent="0.25">
      <c r="A2" s="531" t="s">
        <v>182</v>
      </c>
      <c r="B2" s="532"/>
      <c r="C2" s="533"/>
      <c r="E2" s="217"/>
      <c r="F2" s="538" t="s">
        <v>183</v>
      </c>
      <c r="G2" s="539"/>
      <c r="H2" s="540" t="s">
        <v>177</v>
      </c>
      <c r="I2" s="539"/>
      <c r="J2" s="541" t="s">
        <v>180</v>
      </c>
      <c r="K2" s="542"/>
      <c r="M2" s="547" t="s">
        <v>183</v>
      </c>
      <c r="N2" s="548"/>
      <c r="O2" s="548" t="s">
        <v>177</v>
      </c>
      <c r="P2" s="548"/>
      <c r="Q2" s="549" t="s">
        <v>180</v>
      </c>
      <c r="R2" s="550"/>
    </row>
    <row r="3" spans="1:51" ht="35.25" customHeight="1" thickBot="1" x14ac:dyDescent="0.3">
      <c r="A3" s="203" t="s">
        <v>6</v>
      </c>
      <c r="B3" s="189" t="s">
        <v>160</v>
      </c>
      <c r="C3" s="204" t="s">
        <v>178</v>
      </c>
      <c r="E3" s="217"/>
      <c r="F3" s="543">
        <f>roya.historico</f>
        <v>39</v>
      </c>
      <c r="G3" s="544"/>
      <c r="H3" s="545">
        <f ca="1">IF($C$4="normales",Economico!B38,IF($C$4="favorables a roya",Economico!C38,IF($C$4="desfavorables a roya",Economico!D38,IF($C$4="muy favorables a roya",Economico!E38))))</f>
        <v>48.75</v>
      </c>
      <c r="I3" s="544"/>
      <c r="J3" s="545">
        <f>Economico!F38</f>
        <v>5</v>
      </c>
      <c r="K3" s="546"/>
      <c r="M3" s="330">
        <f>Economico!G45</f>
        <v>7031</v>
      </c>
      <c r="N3" s="331" t="str">
        <f>+ud</f>
        <v>$</v>
      </c>
      <c r="O3" s="332">
        <f ca="1">IF($C$4="normales",Economico!B45,IF($C$4="favorables a roya",Economico!C45,IF($C$4="desfavorables a roya",Economico!D45,IF($C$4="muy favorables a roya",Economico!E45))))</f>
        <v>6738.5</v>
      </c>
      <c r="P3" s="331" t="str">
        <f>+ud</f>
        <v>$</v>
      </c>
      <c r="Q3" s="333">
        <f>val.agreg.prod.a1.trat</f>
        <v>7850</v>
      </c>
      <c r="R3" s="334" t="str">
        <f>+ud</f>
        <v>$</v>
      </c>
    </row>
    <row r="4" spans="1:51" ht="38.25" customHeight="1" thickTop="1" thickBot="1" x14ac:dyDescent="0.4">
      <c r="A4" s="190" t="s">
        <v>78</v>
      </c>
      <c r="B4" s="205">
        <v>5</v>
      </c>
      <c r="C4" s="212" t="s">
        <v>258</v>
      </c>
      <c r="D4" s="287" t="str">
        <f>VLOOKUP(mes,periodo,2,FALSE)</f>
        <v>despues_cosecha</v>
      </c>
      <c r="E4" s="217"/>
      <c r="F4" s="526" t="s">
        <v>181</v>
      </c>
      <c r="G4" s="527"/>
      <c r="H4" s="527"/>
      <c r="I4" s="527"/>
      <c r="J4" s="527"/>
      <c r="K4" s="528"/>
      <c r="M4" s="534" t="s">
        <v>185</v>
      </c>
      <c r="N4" s="535"/>
      <c r="O4" s="535"/>
      <c r="P4" s="536"/>
      <c r="Q4" s="536"/>
      <c r="R4" s="283"/>
    </row>
    <row r="5" spans="1:51" s="9" customFormat="1" ht="15.75" thickTop="1" x14ac:dyDescent="0.25">
      <c r="A5" s="217"/>
      <c r="B5" s="217">
        <v>10</v>
      </c>
      <c r="C5" s="218"/>
      <c r="D5" s="211"/>
      <c r="E5" s="217"/>
      <c r="F5" s="514" t="s">
        <v>183</v>
      </c>
      <c r="G5" s="515"/>
      <c r="H5" s="554" t="s">
        <v>177</v>
      </c>
      <c r="I5" s="551"/>
      <c r="J5" s="541" t="s">
        <v>180</v>
      </c>
      <c r="K5" s="542"/>
      <c r="L5" s="217"/>
      <c r="M5" s="514" t="s">
        <v>183</v>
      </c>
      <c r="N5" s="551"/>
      <c r="O5" s="515" t="s">
        <v>177</v>
      </c>
      <c r="P5" s="551"/>
      <c r="Q5" s="541" t="s">
        <v>180</v>
      </c>
      <c r="R5" s="542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1"/>
      <c r="AQ5" s="211"/>
      <c r="AR5" s="211"/>
      <c r="AS5" s="211"/>
      <c r="AT5" s="211"/>
      <c r="AU5" s="211"/>
      <c r="AV5" s="211"/>
      <c r="AW5" s="211"/>
      <c r="AX5" s="211"/>
      <c r="AY5" s="211"/>
    </row>
    <row r="6" spans="1:51" s="9" customFormat="1" ht="30.75" customHeight="1" x14ac:dyDescent="0.25">
      <c r="A6" s="217"/>
      <c r="B6" s="217"/>
      <c r="C6" s="219"/>
      <c r="D6" s="211"/>
      <c r="E6" s="217"/>
      <c r="F6" s="335">
        <f>Economico!G42</f>
        <v>3956</v>
      </c>
      <c r="G6" s="336" t="str">
        <f>+ud</f>
        <v>$</v>
      </c>
      <c r="H6" s="337">
        <f ca="1">IF($C$4="normales",Economico!B42,IF($C$4="favorables a roya",Economico!C42,IF($C$4="desfavorables a roya",Economico!D42,IF($C$4="muy favorables a roya",Economico!E42))))</f>
        <v>3722</v>
      </c>
      <c r="I6" s="336" t="str">
        <f>+ud</f>
        <v>$</v>
      </c>
      <c r="J6" s="337">
        <f>margen.a1.trat</f>
        <v>4571</v>
      </c>
      <c r="K6" s="338" t="str">
        <f>+ud</f>
        <v>$</v>
      </c>
      <c r="L6" s="217"/>
      <c r="M6" s="575">
        <f>Economico!G46/1000000</f>
        <v>21.093</v>
      </c>
      <c r="N6" s="577" t="str">
        <f>+ud</f>
        <v>$</v>
      </c>
      <c r="O6" s="579">
        <f ca="1">IF($C$4="normales",Economico!B46/1000000,IF($C$4="favorables a roya",Economico!C46/1000000,IF($C$4="desfavorables a roya",Economico!D46/1000000,IF($C$4="muy favorables a roya",Economico!E46/1000000))))</f>
        <v>20.215499999999999</v>
      </c>
      <c r="P6" s="581" t="str">
        <f>+ud</f>
        <v>$</v>
      </c>
      <c r="Q6" s="563">
        <f>Economico!F46/1000000</f>
        <v>23.55</v>
      </c>
      <c r="R6" s="565" t="str">
        <f>+ud</f>
        <v>$</v>
      </c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1"/>
      <c r="AQ6" s="211"/>
      <c r="AR6" s="211"/>
      <c r="AS6" s="211"/>
      <c r="AT6" s="211"/>
      <c r="AU6" s="211"/>
      <c r="AV6" s="211"/>
      <c r="AW6" s="211"/>
      <c r="AX6" s="211"/>
      <c r="AY6" s="211"/>
    </row>
    <row r="7" spans="1:51" s="9" customFormat="1" ht="12.75" customHeight="1" thickBot="1" x14ac:dyDescent="0.3">
      <c r="A7" s="217"/>
      <c r="B7" s="217"/>
      <c r="C7" s="219"/>
      <c r="D7" s="211"/>
      <c r="E7" s="217"/>
      <c r="F7" s="570" t="str">
        <f>Economico!G43</f>
        <v>sostenible</v>
      </c>
      <c r="G7" s="571"/>
      <c r="H7" s="572" t="str">
        <f ca="1">IF(C4="normales",Economico!B43,IF(C4="favorables a roya",Economico!C43,IF(C4="desfavorables a roya",Economico!D43,IF(C4="muy favorables a roya",Economico!E43))))</f>
        <v>sostenible</v>
      </c>
      <c r="I7" s="571"/>
      <c r="J7" s="567" t="str">
        <f>Economico!F43</f>
        <v>sostenible</v>
      </c>
      <c r="K7" s="568"/>
      <c r="L7" s="217"/>
      <c r="M7" s="576"/>
      <c r="N7" s="578"/>
      <c r="O7" s="580"/>
      <c r="P7" s="582"/>
      <c r="Q7" s="564"/>
      <c r="R7" s="566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1"/>
      <c r="AQ7" s="211"/>
      <c r="AR7" s="211"/>
      <c r="AS7" s="211"/>
      <c r="AT7" s="211"/>
      <c r="AU7" s="211"/>
      <c r="AV7" s="211"/>
      <c r="AW7" s="211"/>
      <c r="AX7" s="211"/>
      <c r="AY7" s="211"/>
    </row>
    <row r="8" spans="1:51" s="9" customFormat="1" ht="36.75" customHeight="1" thickTop="1" x14ac:dyDescent="0.35">
      <c r="A8" s="217"/>
      <c r="B8" s="217"/>
      <c r="C8" s="219"/>
      <c r="D8" s="281" t="s">
        <v>238</v>
      </c>
      <c r="E8" s="217"/>
      <c r="F8" s="516" t="s">
        <v>195</v>
      </c>
      <c r="G8" s="517"/>
      <c r="H8" s="517"/>
      <c r="I8" s="518"/>
      <c r="J8" s="537"/>
      <c r="K8" s="282"/>
      <c r="L8" s="217"/>
      <c r="M8" s="526" t="s">
        <v>186</v>
      </c>
      <c r="N8" s="527"/>
      <c r="O8" s="527"/>
      <c r="P8" s="527"/>
      <c r="Q8" s="527"/>
      <c r="R8" s="528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  <c r="AL8" s="217"/>
      <c r="AM8" s="217"/>
      <c r="AN8" s="217"/>
      <c r="AO8" s="217"/>
      <c r="AP8" s="211"/>
      <c r="AQ8" s="211"/>
      <c r="AR8" s="211"/>
      <c r="AS8" s="211"/>
      <c r="AT8" s="211"/>
      <c r="AU8" s="211"/>
      <c r="AV8" s="211"/>
      <c r="AW8" s="211"/>
      <c r="AX8" s="211"/>
      <c r="AY8" s="211"/>
    </row>
    <row r="9" spans="1:51" s="9" customFormat="1" ht="19.5" customHeight="1" x14ac:dyDescent="0.25">
      <c r="A9" s="217"/>
      <c r="B9" s="217"/>
      <c r="C9" s="219"/>
      <c r="D9" s="211"/>
      <c r="E9" s="217"/>
      <c r="F9" s="514" t="s">
        <v>183</v>
      </c>
      <c r="G9" s="551"/>
      <c r="H9" s="515" t="s">
        <v>177</v>
      </c>
      <c r="I9" s="551"/>
      <c r="J9" s="541" t="s">
        <v>180</v>
      </c>
      <c r="K9" s="542"/>
      <c r="L9" s="217"/>
      <c r="M9" s="583" t="s">
        <v>183</v>
      </c>
      <c r="N9" s="569"/>
      <c r="O9" s="569" t="s">
        <v>177</v>
      </c>
      <c r="P9" s="569"/>
      <c r="Q9" s="573" t="s">
        <v>180</v>
      </c>
      <c r="R9" s="574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1"/>
      <c r="AQ9" s="211"/>
      <c r="AR9" s="211"/>
      <c r="AS9" s="211"/>
      <c r="AT9" s="211"/>
      <c r="AU9" s="211"/>
      <c r="AV9" s="211"/>
      <c r="AW9" s="211"/>
      <c r="AX9" s="211"/>
      <c r="AY9" s="211"/>
    </row>
    <row r="10" spans="1:51" s="9" customFormat="1" ht="32.25" customHeight="1" thickBot="1" x14ac:dyDescent="0.3">
      <c r="A10" s="217"/>
      <c r="B10" s="217"/>
      <c r="C10" s="219"/>
      <c r="D10" s="211"/>
      <c r="E10" s="217"/>
      <c r="F10" s="560">
        <f>Economico!G48</f>
        <v>1.1457777777777778</v>
      </c>
      <c r="G10" s="561"/>
      <c r="H10" s="562">
        <f ca="1">IF($C$4="normales",Economico!B48,IF($C$4="favorables a roya",Economico!C48,IF($C$4="desfavorables a roya",Economico!D48,IF($C$4="muy favorables a roya",Economico!E48))))</f>
        <v>1.0937777777777777</v>
      </c>
      <c r="I10" s="561"/>
      <c r="J10" s="524">
        <f>Economico!F48</f>
        <v>1.2824444444444445</v>
      </c>
      <c r="K10" s="525"/>
      <c r="L10" s="217"/>
      <c r="M10" s="519">
        <f>Economico!G49</f>
        <v>1.4546159813809154</v>
      </c>
      <c r="N10" s="520"/>
      <c r="O10" s="520">
        <f ca="1">IF($C$4="normales",Economico!B49,IF($C$4="favorables a roya",Economico!C49,IF($C$4="desfavorables a roya",Economico!D49,IF($C$4="muy favorables a roya",Economico!E49))))</f>
        <v>1.5237708248679398</v>
      </c>
      <c r="P10" s="520"/>
      <c r="Q10" s="520">
        <f>Economico!F49</f>
        <v>1.2996014555536302</v>
      </c>
      <c r="R10" s="521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</row>
    <row r="11" spans="1:51" s="9" customFormat="1" ht="40.5" customHeight="1" thickTop="1" x14ac:dyDescent="0.35">
      <c r="A11" s="217"/>
      <c r="B11" s="217"/>
      <c r="C11" s="219"/>
      <c r="D11" s="211"/>
      <c r="E11" s="217"/>
      <c r="F11" s="526" t="s">
        <v>188</v>
      </c>
      <c r="G11" s="527"/>
      <c r="H11" s="527"/>
      <c r="I11" s="527"/>
      <c r="J11" s="527"/>
      <c r="K11" s="528"/>
      <c r="L11" s="217"/>
      <c r="M11" s="526" t="s">
        <v>187</v>
      </c>
      <c r="N11" s="527"/>
      <c r="O11" s="527"/>
      <c r="P11" s="527"/>
      <c r="Q11" s="527"/>
      <c r="R11" s="528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</row>
    <row r="12" spans="1:51" s="9" customFormat="1" x14ac:dyDescent="0.25">
      <c r="A12" s="217"/>
      <c r="B12" s="217"/>
      <c r="C12" s="219"/>
      <c r="D12" s="211"/>
      <c r="E12" s="217"/>
      <c r="F12" s="514" t="s">
        <v>183</v>
      </c>
      <c r="G12" s="551"/>
      <c r="H12" s="515" t="s">
        <v>177</v>
      </c>
      <c r="I12" s="551"/>
      <c r="J12" s="541" t="s">
        <v>180</v>
      </c>
      <c r="K12" s="542"/>
      <c r="L12" s="217"/>
      <c r="M12" s="514" t="s">
        <v>183</v>
      </c>
      <c r="N12" s="515"/>
      <c r="O12" s="515" t="s">
        <v>177</v>
      </c>
      <c r="P12" s="551"/>
      <c r="Q12" s="541" t="s">
        <v>180</v>
      </c>
      <c r="R12" s="542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</row>
    <row r="13" spans="1:51" s="9" customFormat="1" ht="32.25" customHeight="1" thickBot="1" x14ac:dyDescent="0.3">
      <c r="A13" s="220"/>
      <c r="B13" s="220"/>
      <c r="C13" s="221"/>
      <c r="D13" s="211"/>
      <c r="E13" s="217"/>
      <c r="F13" s="328">
        <f>Economico!G54</f>
        <v>72.400000000000006</v>
      </c>
      <c r="G13" s="285" t="str">
        <f>CONCATENATE(ud,"/",up)</f>
        <v>$/qq</v>
      </c>
      <c r="H13" s="329">
        <f ca="1">IF($C$4="normales",Economico!B54,IF($C$4="favorables a roya",Economico!C54,IF($C$4="desfavorables a roya",Economico!D54,IF($C$4="muy favorables a roya",Economico!E54))))</f>
        <v>75.085413929040726</v>
      </c>
      <c r="I13" s="285" t="str">
        <f>CONCATENATE(ud,"/",up)</f>
        <v>$/qq</v>
      </c>
      <c r="J13" s="329">
        <f>Economico!F54</f>
        <v>67.649572649572661</v>
      </c>
      <c r="K13" s="286" t="str">
        <f>CONCATENATE(ud,"/",up)</f>
        <v>$/qq</v>
      </c>
      <c r="L13" s="217"/>
      <c r="M13" s="522">
        <f>Economico!G50</f>
        <v>2.3273855702094646</v>
      </c>
      <c r="N13" s="523"/>
      <c r="O13" s="523">
        <f ca="1">IF($C$4="normales",Economico!B50,IF($C$4="favorables a roya",Economico!C50,IF($C$4="desfavorables a roya",Economico!D50,IF($C$4="muy favorables a roya",Economico!E50))))</f>
        <v>2.4380333197887039</v>
      </c>
      <c r="P13" s="523"/>
      <c r="Q13" s="524">
        <f>Economico!F50</f>
        <v>2.0793623288858081</v>
      </c>
      <c r="R13" s="525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</row>
    <row r="14" spans="1:51" s="185" customFormat="1" ht="36" customHeight="1" thickTop="1" x14ac:dyDescent="0.35">
      <c r="A14" s="234"/>
      <c r="B14" s="234"/>
      <c r="C14" s="272"/>
      <c r="D14" s="211"/>
      <c r="E14" s="217"/>
      <c r="F14" s="516" t="s">
        <v>196</v>
      </c>
      <c r="G14" s="517"/>
      <c r="H14" s="517"/>
      <c r="I14" s="518"/>
      <c r="J14" s="518"/>
      <c r="K14" s="282"/>
      <c r="L14" s="217"/>
      <c r="M14" s="526" t="s">
        <v>194</v>
      </c>
      <c r="N14" s="527"/>
      <c r="O14" s="527"/>
      <c r="P14" s="527"/>
      <c r="Q14" s="527"/>
      <c r="R14" s="528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</row>
    <row r="15" spans="1:51" s="185" customFormat="1" ht="17.25" customHeight="1" x14ac:dyDescent="0.25">
      <c r="A15" s="234"/>
      <c r="B15" s="234"/>
      <c r="C15" s="273"/>
      <c r="D15" s="211"/>
      <c r="E15" s="217"/>
      <c r="F15" s="514" t="s">
        <v>183</v>
      </c>
      <c r="G15" s="515"/>
      <c r="H15" s="515" t="s">
        <v>177</v>
      </c>
      <c r="I15" s="551"/>
      <c r="J15" s="558" t="s">
        <v>180</v>
      </c>
      <c r="K15" s="559"/>
      <c r="L15" s="217"/>
      <c r="M15" s="547" t="s">
        <v>183</v>
      </c>
      <c r="N15" s="554"/>
      <c r="O15" s="548" t="s">
        <v>177</v>
      </c>
      <c r="P15" s="548"/>
      <c r="Q15" s="549" t="s">
        <v>180</v>
      </c>
      <c r="R15" s="550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</row>
    <row r="16" spans="1:51" s="185" customFormat="1" ht="30.75" customHeight="1" thickBot="1" x14ac:dyDescent="0.3">
      <c r="A16" s="275"/>
      <c r="B16" s="275"/>
      <c r="C16" s="274"/>
      <c r="D16" s="211"/>
      <c r="E16" s="217"/>
      <c r="F16" s="330">
        <f>F6-ingresos.otros</f>
        <v>2456</v>
      </c>
      <c r="G16" s="331" t="str">
        <f>+ud</f>
        <v>$</v>
      </c>
      <c r="H16" s="333">
        <f ca="1">H6-ingresos.otros</f>
        <v>2222</v>
      </c>
      <c r="I16" s="331" t="str">
        <f>+ud</f>
        <v>$</v>
      </c>
      <c r="J16" s="333">
        <f>J6-ingresos.otros</f>
        <v>3071</v>
      </c>
      <c r="K16" s="334" t="str">
        <f>+ud</f>
        <v>$</v>
      </c>
      <c r="L16" s="217"/>
      <c r="M16" s="552">
        <f>nb.jornales.hist</f>
        <v>15</v>
      </c>
      <c r="N16" s="553"/>
      <c r="O16" s="555">
        <f ca="1">IF($C$4="normales",nb.jornales.n,IF($C$4="favorables a roya",nb.jornales.f,IF($C$4="desfavorables a roya",nb.jornales.d,IF($C$4="muy favorables a roya",nb.jornales.c))))</f>
        <v>3.3000000000000114</v>
      </c>
      <c r="P16" s="556"/>
      <c r="Q16" s="555">
        <f>nb.jornales.t</f>
        <v>55.799999999999955</v>
      </c>
      <c r="R16" s="557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</row>
    <row r="17" spans="1:41" s="185" customFormat="1" ht="15.75" thickTop="1" x14ac:dyDescent="0.25">
      <c r="A17" s="234"/>
      <c r="B17" s="234"/>
      <c r="C17" s="234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4"/>
      <c r="AN17" s="234"/>
      <c r="AO17" s="234"/>
    </row>
    <row r="18" spans="1:41" s="185" customFormat="1" ht="53.25" customHeight="1" x14ac:dyDescent="0.25">
      <c r="A18" s="234"/>
      <c r="B18" s="234"/>
      <c r="C18" s="234"/>
      <c r="D18" s="217"/>
      <c r="E18" s="217"/>
      <c r="F18" s="217"/>
      <c r="G18" s="217"/>
      <c r="H18" s="217"/>
      <c r="I18" s="217"/>
      <c r="J18" s="217"/>
      <c r="K18" s="217"/>
      <c r="L18" s="217"/>
      <c r="M18" s="284"/>
      <c r="N18" s="217"/>
      <c r="O18" s="217"/>
      <c r="P18" s="217"/>
      <c r="Q18" s="217"/>
      <c r="R18" s="217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</row>
    <row r="19" spans="1:41" s="185" customFormat="1" ht="43.5" customHeight="1" x14ac:dyDescent="0.25">
      <c r="A19" s="234"/>
      <c r="B19" s="234"/>
      <c r="C19" s="234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</row>
    <row r="20" spans="1:41" s="185" customFormat="1" x14ac:dyDescent="0.25">
      <c r="A20" s="234"/>
      <c r="B20" s="234"/>
      <c r="C20" s="234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4"/>
      <c r="AN20" s="234"/>
      <c r="AO20" s="234"/>
    </row>
    <row r="21" spans="1:41" s="185" customFormat="1" ht="51.75" customHeight="1" x14ac:dyDescent="0.25">
      <c r="A21" s="234"/>
      <c r="B21" s="234"/>
      <c r="C21" s="234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4"/>
      <c r="AN21" s="234"/>
      <c r="AO21" s="234"/>
    </row>
    <row r="22" spans="1:41" s="234" customFormat="1" ht="43.5" customHeight="1" x14ac:dyDescent="0.25"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</row>
    <row r="23" spans="1:41" s="234" customFormat="1" x14ac:dyDescent="0.25"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</row>
    <row r="24" spans="1:41" s="234" customFormat="1" ht="51.75" customHeight="1" x14ac:dyDescent="0.25"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</row>
    <row r="25" spans="1:41" s="234" customFormat="1" ht="43.5" customHeight="1" x14ac:dyDescent="0.25"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</row>
    <row r="26" spans="1:41" s="234" customFormat="1" x14ac:dyDescent="0.25"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</row>
    <row r="27" spans="1:41" s="234" customFormat="1" ht="51.75" customHeight="1" x14ac:dyDescent="0.25"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</row>
    <row r="28" spans="1:41" s="234" customFormat="1" ht="43.5" customHeight="1" x14ac:dyDescent="0.25"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</row>
    <row r="29" spans="1:41" s="234" customFormat="1" x14ac:dyDescent="0.25"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</row>
    <row r="30" spans="1:41" s="234" customFormat="1" ht="51.75" customHeight="1" x14ac:dyDescent="0.25"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</row>
    <row r="31" spans="1:41" s="234" customFormat="1" x14ac:dyDescent="0.25"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</row>
    <row r="32" spans="1:41" s="234" customFormat="1" x14ac:dyDescent="0.25"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</row>
    <row r="33" spans="4:41" s="234" customFormat="1" x14ac:dyDescent="0.25"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</row>
    <row r="34" spans="4:41" s="234" customFormat="1" x14ac:dyDescent="0.25"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</row>
    <row r="35" spans="4:41" s="234" customFormat="1" x14ac:dyDescent="0.25"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</row>
    <row r="36" spans="4:41" s="234" customFormat="1" x14ac:dyDescent="0.25"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</row>
    <row r="37" spans="4:41" s="234" customFormat="1" x14ac:dyDescent="0.25"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</row>
    <row r="38" spans="4:41" s="234" customFormat="1" x14ac:dyDescent="0.25"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</row>
    <row r="39" spans="4:41" s="234" customFormat="1" x14ac:dyDescent="0.25"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</row>
    <row r="40" spans="4:41" s="234" customFormat="1" x14ac:dyDescent="0.25"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</row>
    <row r="41" spans="4:41" s="185" customFormat="1" x14ac:dyDescent="0.25">
      <c r="D41" s="211"/>
      <c r="E41" s="211"/>
      <c r="F41" s="211"/>
      <c r="G41" s="211"/>
      <c r="H41" s="211"/>
      <c r="I41" s="211"/>
      <c r="J41" s="211"/>
      <c r="K41" s="211"/>
      <c r="L41" s="217"/>
      <c r="M41" s="211"/>
      <c r="N41" s="211"/>
      <c r="O41" s="211"/>
      <c r="P41" s="211"/>
      <c r="Q41" s="211"/>
      <c r="R41" s="211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</row>
    <row r="42" spans="4:41" s="185" customFormat="1" x14ac:dyDescent="0.25">
      <c r="D42" s="211"/>
      <c r="E42" s="211"/>
      <c r="F42" s="211"/>
      <c r="G42" s="211"/>
      <c r="H42" s="211"/>
      <c r="I42" s="211"/>
      <c r="J42" s="211"/>
      <c r="K42" s="211"/>
      <c r="L42" s="217"/>
      <c r="M42" s="211"/>
      <c r="N42" s="211"/>
      <c r="O42" s="211"/>
      <c r="P42" s="211"/>
      <c r="Q42" s="211"/>
      <c r="R42" s="211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</row>
  </sheetData>
  <sheetProtection algorithmName="SHA-512" hashValue="MHEngxsJ8kl8oNBtw9dEVB2tEpEYajNR6+PYprN8YumRu1+V+PMcbPHa/auffjiGZVQn1RsVMeG8ghm3xRKZoQ==" saltValue="N325+oOp+sa9hhI7338cDw==" spinCount="100000" sheet="1" objects="1" scenarios="1"/>
  <mergeCells count="66">
    <mergeCell ref="Q9:R9"/>
    <mergeCell ref="M12:N12"/>
    <mergeCell ref="O12:P12"/>
    <mergeCell ref="M6:M7"/>
    <mergeCell ref="N6:N7"/>
    <mergeCell ref="O6:O7"/>
    <mergeCell ref="P6:P7"/>
    <mergeCell ref="M9:N9"/>
    <mergeCell ref="Q12:R12"/>
    <mergeCell ref="F4:K4"/>
    <mergeCell ref="F1:K1"/>
    <mergeCell ref="F9:G9"/>
    <mergeCell ref="H9:I9"/>
    <mergeCell ref="J9:K9"/>
    <mergeCell ref="F5:G5"/>
    <mergeCell ref="H5:I5"/>
    <mergeCell ref="J5:K5"/>
    <mergeCell ref="F7:G7"/>
    <mergeCell ref="H7:I7"/>
    <mergeCell ref="Q5:R5"/>
    <mergeCell ref="J15:K15"/>
    <mergeCell ref="H15:I15"/>
    <mergeCell ref="F11:K11"/>
    <mergeCell ref="F10:G10"/>
    <mergeCell ref="H10:I10"/>
    <mergeCell ref="J10:K10"/>
    <mergeCell ref="Q6:Q7"/>
    <mergeCell ref="R6:R7"/>
    <mergeCell ref="F12:G12"/>
    <mergeCell ref="H12:I12"/>
    <mergeCell ref="J12:K12"/>
    <mergeCell ref="M8:R8"/>
    <mergeCell ref="M11:R11"/>
    <mergeCell ref="J7:K7"/>
    <mergeCell ref="O9:P9"/>
    <mergeCell ref="M16:N16"/>
    <mergeCell ref="M15:N15"/>
    <mergeCell ref="O16:P16"/>
    <mergeCell ref="O15:P15"/>
    <mergeCell ref="Q15:R15"/>
    <mergeCell ref="Q16:R16"/>
    <mergeCell ref="B1:C1"/>
    <mergeCell ref="A2:C2"/>
    <mergeCell ref="M4:Q4"/>
    <mergeCell ref="F8:J8"/>
    <mergeCell ref="F2:G2"/>
    <mergeCell ref="H2:I2"/>
    <mergeCell ref="J2:K2"/>
    <mergeCell ref="F3:G3"/>
    <mergeCell ref="H3:I3"/>
    <mergeCell ref="J3:K3"/>
    <mergeCell ref="M1:R1"/>
    <mergeCell ref="M2:N2"/>
    <mergeCell ref="O2:P2"/>
    <mergeCell ref="Q2:R2"/>
    <mergeCell ref="M5:N5"/>
    <mergeCell ref="O5:P5"/>
    <mergeCell ref="F15:G15"/>
    <mergeCell ref="F14:J14"/>
    <mergeCell ref="M10:N10"/>
    <mergeCell ref="O10:P10"/>
    <mergeCell ref="Q10:R10"/>
    <mergeCell ref="M13:N13"/>
    <mergeCell ref="O13:P13"/>
    <mergeCell ref="Q13:R13"/>
    <mergeCell ref="M14:R14"/>
  </mergeCells>
  <conditionalFormatting sqref="B4">
    <cfRule type="expression" dxfId="135" priority="147">
      <formula>IF(D4="cosecha",IF(B4&gt;=30,TRUE),FALSE)</formula>
    </cfRule>
    <cfRule type="expression" dxfId="134" priority="148">
      <formula>IF(D4="cosecha",IF(AND(B4&lt; 30,B4&gt;=20),TRUE),FALSE)</formula>
    </cfRule>
    <cfRule type="expression" dxfId="133" priority="149">
      <formula>IF(D4="cosecha",IF(AND(B4&lt; 20,B4&gt;=15),TRUE),FALSE)</formula>
    </cfRule>
    <cfRule type="expression" dxfId="132" priority="150">
      <formula>IF(D4="cosecha",IF(AND(B4&lt; 15,B4&gt;=5),TRUE),FALSE)</formula>
    </cfRule>
    <cfRule type="expression" dxfId="131" priority="151">
      <formula>IF(D4="cosecha",IF(AND(B4&lt; 5,B4&gt;=0),TRUE),FALSE)</formula>
    </cfRule>
    <cfRule type="expression" dxfId="130" priority="152">
      <formula>IF(D4="antes_cosecha",IF(B4&gt;=20,TRUE),FALSE)</formula>
    </cfRule>
    <cfRule type="expression" dxfId="129" priority="153">
      <formula>IF(D4="antes_cosecha",IF(AND(B4&lt; 20,B4&gt;=10),TRUE),FALSE)</formula>
    </cfRule>
    <cfRule type="expression" dxfId="128" priority="154">
      <formula>IF(D4="antes_cosecha",IF(AND(B4&lt; 10,B4&gt;=5),TRUE),FALSE)</formula>
    </cfRule>
    <cfRule type="expression" dxfId="127" priority="155">
      <formula>IF(D4="antes_cosecha",IF(AND(B4&lt; 5,B4&gt;=3),TRUE),FALSE)</formula>
    </cfRule>
    <cfRule type="expression" dxfId="126" priority="156">
      <formula>IF(D4="antes_cosecha",IF(AND(B4&lt;5,B4&gt;=0),TRUE),FALSE)</formula>
    </cfRule>
  </conditionalFormatting>
  <conditionalFormatting sqref="H3">
    <cfRule type="expression" dxfId="125" priority="137">
      <formula>IF(D8="cosecha",IF(H3&gt;=30,TRUE),FALSE)</formula>
    </cfRule>
    <cfRule type="expression" dxfId="124" priority="138">
      <formula>IF(D8="cosecha",IF(AND(H3&lt; 30,H3&gt;=20),TRUE),FALSE)</formula>
    </cfRule>
    <cfRule type="expression" dxfId="123" priority="139">
      <formula>IF(D8="cosecha",IF(AND(H3&lt; 20,H3&gt;=15),TRUE),FALSE)</formula>
    </cfRule>
    <cfRule type="expression" dxfId="122" priority="140">
      <formula>IF(D8="cosecha",IF(AND(H3&lt; 15,H3&gt;=5),TRUE),FALSE)</formula>
    </cfRule>
    <cfRule type="expression" dxfId="121" priority="141">
      <formula>IF(D8="cosecha",IF(AND(H3&lt; 5,H3&gt;=0),TRUE),FALSE)</formula>
    </cfRule>
    <cfRule type="expression" dxfId="120" priority="142">
      <formula>IF(D8="antes_cosecha",IF(H3&gt;=20,TRUE),FALSE)</formula>
    </cfRule>
    <cfRule type="expression" dxfId="119" priority="143">
      <formula>IF(D8="antes_cosecha",IF(AND(H3&lt; 20,H3&gt;=10),TRUE),FALSE)</formula>
    </cfRule>
    <cfRule type="expression" dxfId="118" priority="144">
      <formula>IF(D8="antes_cosecha",IF(AND(H3&lt; 10,H3&gt;=5),TRUE),FALSE)</formula>
    </cfRule>
    <cfRule type="expression" dxfId="117" priority="145">
      <formula>IF(D8="antes_cosecha",IF(AND(H3&lt; 5,H3&gt;=3),TRUE),FALSE)</formula>
    </cfRule>
    <cfRule type="expression" dxfId="116" priority="146">
      <formula>IF(D8="antes_cosecha",IF(AND(H3&lt;5,H3&gt;=0),TRUE),FALSE)</formula>
    </cfRule>
  </conditionalFormatting>
  <conditionalFormatting sqref="F3">
    <cfRule type="expression" dxfId="115" priority="127">
      <formula>IF(D8="cosecha",IF(F3&gt;=30,TRUE),FALSE)</formula>
    </cfRule>
    <cfRule type="expression" dxfId="114" priority="128">
      <formula>IF(D8="cosecha",IF(AND(F3&lt; 30,F3&gt;=20),TRUE),FALSE)</formula>
    </cfRule>
    <cfRule type="expression" dxfId="113" priority="129">
      <formula>IF(D8="cosecha",IF(AND(F3&lt; 20,F3&gt;=15),TRUE),FALSE)</formula>
    </cfRule>
    <cfRule type="expression" dxfId="112" priority="130">
      <formula>IF(D8="cosecha",IF(AND(F3&lt; 15,F3&gt;=5),TRUE),FALSE)</formula>
    </cfRule>
    <cfRule type="expression" dxfId="111" priority="131">
      <formula>IF(D8="cosecha",IF(AND(F3&lt; 5,F3&gt;=0),TRUE),FALSE)</formula>
    </cfRule>
    <cfRule type="expression" dxfId="110" priority="132">
      <formula>IF(D8="antes_cosecha",IF(F3&gt;=20,TRUE),FALSE)</formula>
    </cfRule>
    <cfRule type="expression" dxfId="109" priority="133">
      <formula>IF(D8="antes_cosecha",IF(AND(F3&lt; 20,F3&gt;=10),TRUE),FALSE)</formula>
    </cfRule>
    <cfRule type="expression" dxfId="108" priority="134">
      <formula>IF(D8="antes_cosecha",IF(AND(F3&lt; 10,F3&gt;=5),TRUE),FALSE)</formula>
    </cfRule>
    <cfRule type="expression" dxfId="107" priority="135">
      <formula>IF(D8="antes_cosecha",IF(AND(F3&lt; 5,F3&gt;=3),TRUE),FALSE)</formula>
    </cfRule>
    <cfRule type="expression" dxfId="106" priority="136">
      <formula>IF(D8="antes_cosecha",IF(AND(F3&lt;5,F3&gt;=0),TRUE),FALSE)</formula>
    </cfRule>
  </conditionalFormatting>
  <conditionalFormatting sqref="C4">
    <cfRule type="cellIs" dxfId="105" priority="123" operator="equal">
      <formula>"normales"</formula>
    </cfRule>
    <cfRule type="cellIs" dxfId="104" priority="124" operator="equal">
      <formula>"desfavorables a roya"</formula>
    </cfRule>
    <cfRule type="cellIs" dxfId="103" priority="125" operator="equal">
      <formula>"favorables a roya"</formula>
    </cfRule>
    <cfRule type="cellIs" dxfId="102" priority="126" operator="equal">
      <formula>"muy favorables a roya"</formula>
    </cfRule>
  </conditionalFormatting>
  <conditionalFormatting sqref="J3">
    <cfRule type="expression" dxfId="101" priority="113">
      <formula>IF(D8="cosecha",IF(J3&gt;=30,TRUE),FALSE)</formula>
    </cfRule>
    <cfRule type="expression" dxfId="100" priority="114">
      <formula>IF(D8="cosecha",IF(AND(J3&lt; 30,J3&gt;=20),TRUE),FALSE)</formula>
    </cfRule>
    <cfRule type="expression" dxfId="99" priority="115">
      <formula>IF(D8="cosecha",IF(AND(J3&lt; 20,J3&gt;=15),TRUE),FALSE)</formula>
    </cfRule>
    <cfRule type="expression" dxfId="98" priority="116">
      <formula>IF(D8="cosecha",IF(AND(J3&lt; 15,J3&gt;=5),TRUE),FALSE)</formula>
    </cfRule>
    <cfRule type="expression" dxfId="97" priority="117">
      <formula>IF(D8="cosecha",IF(AND(J3&lt; 5,J3&gt;=0),TRUE),FALSE)</formula>
    </cfRule>
    <cfRule type="expression" dxfId="96" priority="118">
      <formula>IF(D8="antes_cosecha",IF(J3&gt;=20,TRUE),FALSE)</formula>
    </cfRule>
    <cfRule type="expression" dxfId="95" priority="119">
      <formula>IF(D8="antes_cosecha",IF(AND(J3&lt; 20,J3&gt;=10),TRUE),FALSE)</formula>
    </cfRule>
    <cfRule type="expression" dxfId="94" priority="120">
      <formula>IF(D8="antes_cosecha",IF(AND(J3&lt; 10,J3&gt;=5),TRUE),FALSE)</formula>
    </cfRule>
    <cfRule type="expression" dxfId="93" priority="121">
      <formula>IF(D8="antes_cosecha",IF(AND(J3&lt; 5,J3&gt;=3),TRUE),FALSE)</formula>
    </cfRule>
    <cfRule type="expression" dxfId="92" priority="122">
      <formula>IF(D8="antes_cosecha",IF(AND(J3&lt;5,J3&gt;=0),TRUE),FALSE)</formula>
    </cfRule>
  </conditionalFormatting>
  <conditionalFormatting sqref="F7">
    <cfRule type="cellIs" dxfId="91" priority="111" operator="equal">
      <formula>"critico"</formula>
    </cfRule>
    <cfRule type="cellIs" dxfId="90" priority="112" operator="equal">
      <formula>"sostenible"</formula>
    </cfRule>
  </conditionalFormatting>
  <conditionalFormatting sqref="F7">
    <cfRule type="cellIs" dxfId="89" priority="110" operator="equal">
      <formula>"insostenible"</formula>
    </cfRule>
  </conditionalFormatting>
  <conditionalFormatting sqref="H7 J7">
    <cfRule type="cellIs" dxfId="88" priority="95" operator="equal">
      <formula>"critico"</formula>
    </cfRule>
    <cfRule type="cellIs" dxfId="87" priority="96" operator="equal">
      <formula>"sostenible"</formula>
    </cfRule>
  </conditionalFormatting>
  <conditionalFormatting sqref="H7 J7">
    <cfRule type="cellIs" dxfId="86" priority="94" operator="equal">
      <formula>"insostenible"</formula>
    </cfRule>
  </conditionalFormatting>
  <conditionalFormatting sqref="M10">
    <cfRule type="colorScale" priority="60">
      <colorScale>
        <cfvo type="num" val="1"/>
        <cfvo type="num" val="3"/>
        <cfvo type="num" val="10"/>
        <color rgb="FF00B050"/>
        <color rgb="FFFFEB84"/>
        <color rgb="FFF43E0C"/>
      </colorScale>
    </cfRule>
  </conditionalFormatting>
  <conditionalFormatting sqref="M13">
    <cfRule type="colorScale" priority="49">
      <colorScale>
        <cfvo type="num" val="2"/>
        <cfvo type="num" val="6"/>
        <cfvo type="num" val="10"/>
        <color rgb="FF00B050"/>
        <color rgb="FFFFEB84"/>
        <color rgb="FFF43E0C"/>
      </colorScale>
    </cfRule>
  </conditionalFormatting>
  <conditionalFormatting sqref="F10">
    <cfRule type="colorScale" priority="34">
      <colorScale>
        <cfvo type="num" val="1"/>
        <cfvo type="num" val="2"/>
        <cfvo type="num" val="5"/>
        <color rgb="FFFF0000"/>
        <color rgb="FFFFEB84"/>
        <color rgb="FF00B050"/>
      </colorScale>
    </cfRule>
  </conditionalFormatting>
  <conditionalFormatting sqref="H10 J10">
    <cfRule type="colorScale" priority="33">
      <colorScale>
        <cfvo type="num" val="1"/>
        <cfvo type="num" val="2"/>
        <cfvo type="num" val="5"/>
        <color rgb="FFFF0000"/>
        <color rgb="FFFFEB84"/>
        <color rgb="FF00B050"/>
      </colorScale>
    </cfRule>
  </conditionalFormatting>
  <conditionalFormatting sqref="O10 Q10">
    <cfRule type="colorScale" priority="32">
      <colorScale>
        <cfvo type="num" val="1"/>
        <cfvo type="num" val="3"/>
        <cfvo type="num" val="10"/>
        <color rgb="FF00B050"/>
        <color rgb="FFFFEB84"/>
        <color rgb="FFF43E0C"/>
      </colorScale>
    </cfRule>
  </conditionalFormatting>
  <conditionalFormatting sqref="Q13 O13">
    <cfRule type="colorScale" priority="30">
      <colorScale>
        <cfvo type="num" val="2"/>
        <cfvo type="num" val="6"/>
        <cfvo type="num" val="10"/>
        <color rgb="FF00B050"/>
        <color rgb="FFFFEB84"/>
        <color rgb="FFF43E0C"/>
      </colorScale>
    </cfRule>
  </conditionalFormatting>
  <conditionalFormatting sqref="G6">
    <cfRule type="expression" dxfId="85" priority="100">
      <formula>IF(F7="critico",TRUE,FALSE)</formula>
    </cfRule>
    <cfRule type="expression" dxfId="84" priority="101">
      <formula>IF(F7="insostenible",TRUE,FALSE)</formula>
    </cfRule>
    <cfRule type="expression" dxfId="83" priority="102">
      <formula>IF(F7="sostenible",TRUE,FALSE)</formula>
    </cfRule>
  </conditionalFormatting>
  <conditionalFormatting sqref="I6">
    <cfRule type="expression" dxfId="82" priority="13">
      <formula>IF(H7="critico",TRUE,FALSE)</formula>
    </cfRule>
    <cfRule type="expression" dxfId="81" priority="14">
      <formula>IF(H7="insostenible",TRUE,FALSE)</formula>
    </cfRule>
    <cfRule type="expression" dxfId="80" priority="15">
      <formula>IF(H7="sostenible",TRUE,FALSE)</formula>
    </cfRule>
  </conditionalFormatting>
  <conditionalFormatting sqref="F6">
    <cfRule type="expression" dxfId="79" priority="7">
      <formula>IF(F7="critico",TRUE,FALSE)</formula>
    </cfRule>
    <cfRule type="expression" dxfId="78" priority="8">
      <formula>IF(F7="insostenible",TRUE,FALSE)</formula>
    </cfRule>
    <cfRule type="expression" dxfId="77" priority="9">
      <formula>IF(F7="sostenible",TRUE,FALSE)</formula>
    </cfRule>
  </conditionalFormatting>
  <conditionalFormatting sqref="H6">
    <cfRule type="expression" dxfId="76" priority="97">
      <formula>IF(H7="critico",TRUE,FALSE)</formula>
    </cfRule>
    <cfRule type="expression" dxfId="75" priority="98">
      <formula>IF(H7="insostenible",TRUE,FALSE)</formula>
    </cfRule>
    <cfRule type="expression" dxfId="74" priority="99">
      <formula>IF(H7="sostenible",TRUE,FALSE)</formula>
    </cfRule>
  </conditionalFormatting>
  <conditionalFormatting sqref="J6">
    <cfRule type="expression" dxfId="73" priority="4">
      <formula>IF(J7="critico",TRUE,FALSE)</formula>
    </cfRule>
    <cfRule type="expression" dxfId="72" priority="5">
      <formula>IF(J7="insostenible",TRUE,FALSE)</formula>
    </cfRule>
    <cfRule type="expression" dxfId="71" priority="6">
      <formula>IF(J7="sostenible",TRUE,FALSE)</formula>
    </cfRule>
  </conditionalFormatting>
  <conditionalFormatting sqref="K6">
    <cfRule type="expression" dxfId="70" priority="1">
      <formula>IF(J7="critico",TRUE,FALSE)</formula>
    </cfRule>
    <cfRule type="expression" dxfId="69" priority="2">
      <formula>IF(J7="insostenible",TRUE,FALSE)</formula>
    </cfRule>
    <cfRule type="expression" dxfId="68" priority="3">
      <formula>IF(J7="sostenible",TRUE,FALSE)</formula>
    </cfRule>
  </conditionalFormatting>
  <dataValidations count="2">
    <dataValidation type="list" allowBlank="1" showInputMessage="1" showErrorMessage="1" sqref="A4">
      <formula1>"enero,febrero,marzo,abril,mayo,junio,julio,agosto,setiembre,octubre,noviembre,diciembre"</formula1>
    </dataValidation>
    <dataValidation type="list" allowBlank="1" showInputMessage="1" showErrorMessage="1" sqref="C4">
      <formula1>"normales,desfavorables a roya, favorables a roya, muy favorables a roya"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74</vt:i4>
      </vt:variant>
    </vt:vector>
  </HeadingPairs>
  <TitlesOfParts>
    <vt:vector size="84" baseType="lpstr">
      <vt:lpstr>Economico</vt:lpstr>
      <vt:lpstr>Unidades</vt:lpstr>
      <vt:lpstr>Roya</vt:lpstr>
      <vt:lpstr>Escenarios</vt:lpstr>
      <vt:lpstr>tablas</vt:lpstr>
      <vt:lpstr>Sistema de produccion</vt:lpstr>
      <vt:lpstr>Mano de obra e insumos</vt:lpstr>
      <vt:lpstr>Roya historica</vt:lpstr>
      <vt:lpstr>Pronostico Año en curso</vt:lpstr>
      <vt:lpstr>Impacto Año próximo</vt:lpstr>
      <vt:lpstr>altitud</vt:lpstr>
      <vt:lpstr>area.prod</vt:lpstr>
      <vt:lpstr>canasta.basica</vt:lpstr>
      <vt:lpstr>costo.1tratamientoRoya</vt:lpstr>
      <vt:lpstr>costo.oport.tierra.norm</vt:lpstr>
      <vt:lpstr>costos.indirectos</vt:lpstr>
      <vt:lpstr>costos.insumos</vt:lpstr>
      <vt:lpstr>costos.prod.otros</vt:lpstr>
      <vt:lpstr>costos.prod.tot</vt:lpstr>
      <vt:lpstr>gastos.alim.familia</vt:lpstr>
      <vt:lpstr>inc.max.crisis</vt:lpstr>
      <vt:lpstr>inc.max.desfavorable</vt:lpstr>
      <vt:lpstr>inc.max.favorable</vt:lpstr>
      <vt:lpstr>inc.max.normal</vt:lpstr>
      <vt:lpstr>INC.MES</vt:lpstr>
      <vt:lpstr>inc.mois</vt:lpstr>
      <vt:lpstr>INC.NORM</vt:lpstr>
      <vt:lpstr>inc.norm.crisis</vt:lpstr>
      <vt:lpstr>inc.norm.desfavorable</vt:lpstr>
      <vt:lpstr>inc.norm.favorable</vt:lpstr>
      <vt:lpstr>inc.norm.normal</vt:lpstr>
      <vt:lpstr>ingresos.café</vt:lpstr>
      <vt:lpstr>ingresos.otros</vt:lpstr>
      <vt:lpstr>ingresos.total</vt:lpstr>
      <vt:lpstr>mano.obra.familia</vt:lpstr>
      <vt:lpstr>margen</vt:lpstr>
      <vt:lpstr>margen.a1.crisis</vt:lpstr>
      <vt:lpstr>margen.a1.fav</vt:lpstr>
      <vt:lpstr>margen.a1.hist</vt:lpstr>
      <vt:lpstr>margen.a1.noFav</vt:lpstr>
      <vt:lpstr>margen.a1.ref</vt:lpstr>
      <vt:lpstr>margen.a1.trat</vt:lpstr>
      <vt:lpstr>max.roya</vt:lpstr>
      <vt:lpstr>mes</vt:lpstr>
      <vt:lpstr>mes.max</vt:lpstr>
      <vt:lpstr>mes.norm</vt:lpstr>
      <vt:lpstr>meses</vt:lpstr>
      <vt:lpstr>nb.jornales</vt:lpstr>
      <vt:lpstr>nb.jornales.c</vt:lpstr>
      <vt:lpstr>nb.jornales.d</vt:lpstr>
      <vt:lpstr>nb.jornales.f</vt:lpstr>
      <vt:lpstr>nb.jornales.hist</vt:lpstr>
      <vt:lpstr>nb.jornales.n</vt:lpstr>
      <vt:lpstr>nb.jornales.t</vt:lpstr>
      <vt:lpstr>nb.mois.cosecha</vt:lpstr>
      <vt:lpstr>nb.peones</vt:lpstr>
      <vt:lpstr>niv.manejo</vt:lpstr>
      <vt:lpstr>nivel.manejo</vt:lpstr>
      <vt:lpstr>normal</vt:lpstr>
      <vt:lpstr>num.familias</vt:lpstr>
      <vt:lpstr>num.mes</vt:lpstr>
      <vt:lpstr>paises</vt:lpstr>
      <vt:lpstr>periodo</vt:lpstr>
      <vt:lpstr>precio.cafe</vt:lpstr>
      <vt:lpstr>precio.tierra</vt:lpstr>
      <vt:lpstr>rendimiento.esperado</vt:lpstr>
      <vt:lpstr>roya.historico</vt:lpstr>
      <vt:lpstr>salario.jornal</vt:lpstr>
      <vt:lpstr>salario.minimo</vt:lpstr>
      <vt:lpstr>salario.minimo.rural</vt:lpstr>
      <vt:lpstr>salario.peon</vt:lpstr>
      <vt:lpstr>tabla.costo.insumos</vt:lpstr>
      <vt:lpstr>tabla.da.manejo</vt:lpstr>
      <vt:lpstr>tabla.factor.costo.insumos</vt:lpstr>
      <vt:lpstr>tamano.familia</vt:lpstr>
      <vt:lpstr>ua</vt:lpstr>
      <vt:lpstr>ud</vt:lpstr>
      <vt:lpstr>umbral</vt:lpstr>
      <vt:lpstr>up</vt:lpstr>
      <vt:lpstr>val.agreg.prod.a1.crisis</vt:lpstr>
      <vt:lpstr>val.agreg.prod.a1.fav</vt:lpstr>
      <vt:lpstr>val.agreg.prod.a1.hist</vt:lpstr>
      <vt:lpstr>val.agreg.prod.a1.noFav</vt:lpstr>
      <vt:lpstr>val.agreg.prod.a1.trat</vt:lpstr>
    </vt:vector>
  </TitlesOfParts>
  <Company>Cirad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motisi</dc:creator>
  <cp:lastModifiedBy>gleclerc</cp:lastModifiedBy>
  <dcterms:created xsi:type="dcterms:W3CDTF">2018-09-28T21:15:10Z</dcterms:created>
  <dcterms:modified xsi:type="dcterms:W3CDTF">2020-06-23T18:21:26Z</dcterms:modified>
</cp:coreProperties>
</file>