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20" windowWidth="10425" windowHeight="3285" tabRatio="607"/>
  </bookViews>
  <sheets>
    <sheet name="2016" sheetId="40" r:id="rId1"/>
    <sheet name="2016X" sheetId="41" r:id="rId2"/>
    <sheet name="2016_lgh" sheetId="36" r:id="rId3"/>
    <sheet name="lån" sheetId="38" r:id="rId4"/>
    <sheet name="2016_Fiona_emily lån_swish" sheetId="21" r:id="rId5"/>
    <sheet name="lån betal" sheetId="37" r:id="rId6"/>
    <sheet name="2015" sheetId="33" r:id="rId7"/>
    <sheet name="nytt_kök" sheetId="34" r:id="rId8"/>
    <sheet name="Översikt" sheetId="2" r:id="rId9"/>
    <sheet name="löneutv" sheetId="10" r:id="rId10"/>
    <sheet name="2014" sheetId="29" r:id="rId11"/>
    <sheet name="dekl" sheetId="20" r:id="rId12"/>
    <sheet name="2013" sheetId="23" r:id="rId13"/>
    <sheet name="2011" sheetId="19" r:id="rId14"/>
    <sheet name="2010" sheetId="22" r:id="rId15"/>
    <sheet name="2008" sheetId="8" r:id="rId16"/>
    <sheet name="2007" sheetId="6" r:id="rId17"/>
    <sheet name="2006" sheetId="1" r:id="rId18"/>
    <sheet name="ekon2006" sheetId="5" r:id="rId19"/>
    <sheet name="2004" sheetId="3" r:id="rId20"/>
    <sheet name="Sheet13" sheetId="13" r:id="rId21"/>
  </sheets>
  <definedNames>
    <definedName name="Ant_månader">'2013'!$C$2</definedName>
    <definedName name="no_months">#REF!</definedName>
    <definedName name="No_months1">'2016'!$C$1</definedName>
    <definedName name="noMonths">'2014'!$C$2</definedName>
  </definedNames>
  <calcPr calcId="145621"/>
</workbook>
</file>

<file path=xl/calcChain.xml><?xml version="1.0" encoding="utf-8"?>
<calcChain xmlns="http://schemas.openxmlformats.org/spreadsheetml/2006/main">
  <c r="R45" i="40" l="1"/>
  <c r="R20" i="40"/>
  <c r="R46" i="40" l="1"/>
  <c r="B8" i="41" l="1"/>
  <c r="F17" i="41" l="1"/>
  <c r="E17" i="41"/>
  <c r="J9" i="41"/>
  <c r="R42" i="40" l="1"/>
  <c r="R47" i="40" l="1"/>
  <c r="R11" i="40" l="1"/>
  <c r="R25" i="40"/>
  <c r="G3" i="21" l="1"/>
  <c r="F3" i="21"/>
  <c r="P46" i="40" l="1"/>
  <c r="F48" i="40" l="1"/>
  <c r="R6" i="40" l="1"/>
  <c r="Q6" i="40"/>
  <c r="P6" i="40"/>
  <c r="O6" i="40"/>
  <c r="N6" i="40"/>
  <c r="M6" i="40"/>
  <c r="L6" i="40"/>
  <c r="K6" i="40"/>
  <c r="J6" i="40"/>
  <c r="I6" i="40"/>
  <c r="H6" i="40"/>
  <c r="G6" i="40"/>
  <c r="Q23" i="40"/>
  <c r="Q33" i="40"/>
  <c r="P33" i="40"/>
  <c r="N5" i="36" l="1"/>
  <c r="M5" i="36"/>
  <c r="L5" i="36"/>
  <c r="Q7" i="40"/>
  <c r="Q11" i="40"/>
  <c r="Q20" i="40"/>
  <c r="Q37" i="40"/>
  <c r="Q13" i="40"/>
  <c r="Q42" i="40"/>
  <c r="Q16" i="40"/>
  <c r="Q27" i="40"/>
  <c r="Q46" i="40"/>
  <c r="Q47" i="40"/>
  <c r="Q35" i="40"/>
  <c r="P26" i="40" l="1"/>
  <c r="P42" i="40" l="1"/>
  <c r="P20" i="40" l="1"/>
  <c r="P11" i="40"/>
  <c r="P7" i="40"/>
  <c r="P47" i="40"/>
  <c r="P35" i="40"/>
  <c r="P13" i="40"/>
  <c r="P41" i="40"/>
  <c r="P27" i="40"/>
  <c r="O42" i="40" l="1"/>
  <c r="O46" i="40" l="1"/>
  <c r="F46" i="40" l="1"/>
  <c r="K5" i="36" l="1"/>
  <c r="O11" i="40"/>
  <c r="O20" i="40"/>
  <c r="O7" i="40"/>
  <c r="O13" i="40"/>
  <c r="O35" i="40"/>
  <c r="O26" i="40"/>
  <c r="N33" i="40"/>
  <c r="O33" i="40"/>
  <c r="O23" i="40"/>
  <c r="O47" i="40" s="1"/>
  <c r="O38" i="40"/>
  <c r="O27" i="40"/>
  <c r="E58" i="40" l="1"/>
  <c r="F57" i="40" l="1"/>
  <c r="F56" i="40"/>
  <c r="F55" i="40"/>
  <c r="F52" i="40"/>
  <c r="F50" i="40"/>
  <c r="F49" i="40"/>
  <c r="F45" i="40"/>
  <c r="F44" i="40"/>
  <c r="F41" i="40"/>
  <c r="F40" i="40"/>
  <c r="F39" i="40"/>
  <c r="F35" i="40"/>
  <c r="F34" i="40"/>
  <c r="F32" i="40"/>
  <c r="F31" i="40"/>
  <c r="F30" i="40"/>
  <c r="F29" i="40"/>
  <c r="F26" i="40"/>
  <c r="F21" i="40"/>
  <c r="F18" i="40"/>
  <c r="F17" i="40"/>
  <c r="F16" i="40"/>
  <c r="F15" i="40"/>
  <c r="E29" i="40"/>
  <c r="E22" i="40"/>
  <c r="M54" i="40"/>
  <c r="F54" i="40" s="1"/>
  <c r="I53" i="40"/>
  <c r="F53" i="40" s="1"/>
  <c r="N42" i="40"/>
  <c r="M42" i="40"/>
  <c r="L42" i="40"/>
  <c r="I42" i="40"/>
  <c r="H42" i="40"/>
  <c r="G42" i="40"/>
  <c r="N38" i="40"/>
  <c r="M38" i="40"/>
  <c r="L38" i="40"/>
  <c r="K38" i="40"/>
  <c r="J38" i="40"/>
  <c r="I38" i="40"/>
  <c r="H38" i="40"/>
  <c r="G38" i="40"/>
  <c r="M37" i="40"/>
  <c r="F37" i="40" s="1"/>
  <c r="R36" i="40"/>
  <c r="Q36" i="40"/>
  <c r="Q10" i="40" s="1"/>
  <c r="Q8" i="40" s="1"/>
  <c r="P36" i="40"/>
  <c r="P10" i="40" s="1"/>
  <c r="P8" i="40" s="1"/>
  <c r="O36" i="40"/>
  <c r="O10" i="40" s="1"/>
  <c r="O8" i="40" s="1"/>
  <c r="N36" i="40"/>
  <c r="M36" i="40"/>
  <c r="L36" i="40"/>
  <c r="K36" i="40"/>
  <c r="J36" i="40"/>
  <c r="I36" i="40"/>
  <c r="H36" i="40"/>
  <c r="G36" i="40"/>
  <c r="N27" i="40"/>
  <c r="M27" i="40"/>
  <c r="L27" i="40"/>
  <c r="K27" i="40"/>
  <c r="J27" i="40"/>
  <c r="I27" i="40"/>
  <c r="H27" i="40"/>
  <c r="G27" i="40"/>
  <c r="L25" i="40"/>
  <c r="I25" i="40"/>
  <c r="H25" i="40"/>
  <c r="G25" i="40"/>
  <c r="G24" i="40"/>
  <c r="F24" i="40" s="1"/>
  <c r="N23" i="40"/>
  <c r="N47" i="40" s="1"/>
  <c r="M23" i="40"/>
  <c r="L23" i="40"/>
  <c r="L47" i="40" s="1"/>
  <c r="K23" i="40"/>
  <c r="K47" i="40" s="1"/>
  <c r="I23" i="40"/>
  <c r="H23" i="40"/>
  <c r="H47" i="40" s="1"/>
  <c r="G23" i="40"/>
  <c r="G47" i="40" s="1"/>
  <c r="M33" i="40"/>
  <c r="L33" i="40"/>
  <c r="K33" i="40"/>
  <c r="J33" i="40"/>
  <c r="J47" i="40" s="1"/>
  <c r="I33" i="40"/>
  <c r="H33" i="40"/>
  <c r="G33" i="40"/>
  <c r="N20" i="40"/>
  <c r="M20" i="40"/>
  <c r="L20" i="40"/>
  <c r="K20" i="40"/>
  <c r="J20" i="40"/>
  <c r="I20" i="40"/>
  <c r="H20" i="40"/>
  <c r="G20" i="40"/>
  <c r="I19" i="40"/>
  <c r="F19" i="40" s="1"/>
  <c r="L14" i="40"/>
  <c r="F14" i="40" s="1"/>
  <c r="M13" i="40"/>
  <c r="K13" i="40"/>
  <c r="I13" i="40"/>
  <c r="G13" i="40"/>
  <c r="N12" i="40"/>
  <c r="N11" i="40" s="1"/>
  <c r="J12" i="40"/>
  <c r="J11" i="40" s="1"/>
  <c r="I12" i="40"/>
  <c r="H12" i="40"/>
  <c r="H11" i="40" s="1"/>
  <c r="M11" i="40"/>
  <c r="L11" i="40"/>
  <c r="K11" i="40"/>
  <c r="R7" i="40"/>
  <c r="N7" i="40"/>
  <c r="M7" i="40"/>
  <c r="L7" i="40"/>
  <c r="K7" i="40"/>
  <c r="J7" i="40"/>
  <c r="I7" i="40"/>
  <c r="H7" i="40"/>
  <c r="G7" i="40"/>
  <c r="R4" i="40"/>
  <c r="R5" i="40" s="1"/>
  <c r="Q4" i="40"/>
  <c r="Q5" i="40" s="1"/>
  <c r="P4" i="40"/>
  <c r="P5" i="40" s="1"/>
  <c r="O4" i="40"/>
  <c r="O5" i="40" s="1"/>
  <c r="N4" i="40"/>
  <c r="N5" i="40" s="1"/>
  <c r="L4" i="40"/>
  <c r="L5" i="40" s="1"/>
  <c r="K4" i="40"/>
  <c r="K5" i="40" s="1"/>
  <c r="J4" i="40"/>
  <c r="J5" i="40" s="1"/>
  <c r="H4" i="40"/>
  <c r="H5" i="40" s="1"/>
  <c r="G4" i="40"/>
  <c r="G5" i="40" s="1"/>
  <c r="F7" i="40" l="1"/>
  <c r="F13" i="40"/>
  <c r="I47" i="40"/>
  <c r="F47" i="40" s="1"/>
  <c r="M47" i="40"/>
  <c r="F25" i="40"/>
  <c r="F38" i="40"/>
  <c r="R10" i="40"/>
  <c r="R8" i="40" s="1"/>
  <c r="M10" i="40"/>
  <c r="M8" i="40" s="1"/>
  <c r="N10" i="40"/>
  <c r="N8" i="40" s="1"/>
  <c r="J10" i="40"/>
  <c r="J8" i="40" s="1"/>
  <c r="H10" i="40"/>
  <c r="H8" i="40" s="1"/>
  <c r="K10" i="40"/>
  <c r="K8" i="40" s="1"/>
  <c r="L10" i="40"/>
  <c r="L8" i="40" s="1"/>
  <c r="F20" i="40"/>
  <c r="G10" i="40"/>
  <c r="G8" i="40" s="1"/>
  <c r="F42" i="40"/>
  <c r="F12" i="40"/>
  <c r="F23" i="40"/>
  <c r="F27" i="40"/>
  <c r="F36" i="40"/>
  <c r="F33" i="40"/>
  <c r="E10" i="40"/>
  <c r="I4" i="40"/>
  <c r="I5" i="40" s="1"/>
  <c r="I11" i="40"/>
  <c r="M4" i="40"/>
  <c r="M5" i="40" s="1"/>
  <c r="F22" i="40" l="1"/>
  <c r="F11" i="40"/>
  <c r="I10" i="40"/>
  <c r="I8" i="40" s="1"/>
  <c r="F5" i="40"/>
  <c r="J5" i="36"/>
  <c r="I5" i="36"/>
  <c r="H5" i="36"/>
  <c r="F59" i="40" l="1"/>
  <c r="F8" i="40"/>
  <c r="F10" i="40"/>
  <c r="F29" i="38" l="1"/>
  <c r="F28" i="38"/>
  <c r="B24" i="38"/>
  <c r="B25" i="38" s="1"/>
  <c r="C25" i="38" s="1"/>
  <c r="H11" i="38"/>
  <c r="H12" i="38" s="1"/>
  <c r="D11" i="38"/>
  <c r="F10" i="38"/>
  <c r="G10" i="38" s="1"/>
  <c r="I10" i="38" s="1"/>
  <c r="K8" i="38"/>
  <c r="F8" i="38"/>
  <c r="H6" i="38"/>
  <c r="H9" i="38" s="1"/>
  <c r="D6" i="38"/>
  <c r="D9" i="38" s="1"/>
  <c r="K5" i="38"/>
  <c r="F5" i="38"/>
  <c r="G5" i="38" s="1"/>
  <c r="I5" i="38" s="1"/>
  <c r="K4" i="38"/>
  <c r="F4" i="38"/>
  <c r="G4" i="38" s="1"/>
  <c r="I4" i="38" s="1"/>
  <c r="K3" i="38"/>
  <c r="F3" i="38"/>
  <c r="G3" i="38" s="1"/>
  <c r="I3" i="38" s="1"/>
  <c r="K2" i="38"/>
  <c r="F2" i="38"/>
  <c r="G2" i="38" s="1"/>
  <c r="F11" i="38" l="1"/>
  <c r="F6" i="38"/>
  <c r="F9" i="38" s="1"/>
  <c r="G6" i="38"/>
  <c r="I6" i="38" s="1"/>
  <c r="D12" i="38"/>
  <c r="I2" i="38"/>
  <c r="C24" i="38"/>
  <c r="G8" i="38"/>
  <c r="F12" i="38" l="1"/>
  <c r="G11" i="38"/>
  <c r="I8" i="38"/>
  <c r="I9" i="38" s="1"/>
  <c r="G9" i="38"/>
  <c r="I11" i="38" l="1"/>
  <c r="G12" i="38"/>
  <c r="I12" i="38" s="1"/>
  <c r="E3" i="21" l="1"/>
  <c r="C3" i="21"/>
  <c r="H3" i="21" l="1"/>
  <c r="G5" i="36"/>
  <c r="F5" i="36" l="1"/>
  <c r="B5" i="36" s="1"/>
  <c r="E5" i="36"/>
  <c r="D5" i="36"/>
  <c r="C5" i="36"/>
  <c r="B3" i="36"/>
  <c r="B2" i="36"/>
  <c r="B13" i="36"/>
  <c r="B12" i="36"/>
  <c r="B11" i="36"/>
  <c r="B10" i="36"/>
  <c r="B9" i="36"/>
  <c r="B8" i="36"/>
  <c r="N7" i="36" l="1"/>
  <c r="N4" i="36" s="1"/>
  <c r="M7" i="36"/>
  <c r="M4" i="36" s="1"/>
  <c r="L7" i="36"/>
  <c r="L4" i="36" s="1"/>
  <c r="K7" i="36"/>
  <c r="K4" i="36" s="1"/>
  <c r="J7" i="36"/>
  <c r="J4" i="36" s="1"/>
  <c r="I7" i="36"/>
  <c r="I4" i="36" s="1"/>
  <c r="H7" i="36"/>
  <c r="H4" i="36" s="1"/>
  <c r="G7" i="36"/>
  <c r="G4" i="36" s="1"/>
  <c r="F7" i="36"/>
  <c r="F4" i="36" s="1"/>
  <c r="E7" i="36"/>
  <c r="E4" i="36" s="1"/>
  <c r="D7" i="36"/>
  <c r="D4" i="36" s="1"/>
  <c r="C7" i="36"/>
  <c r="C4" i="36" s="1"/>
  <c r="B4" i="36" l="1"/>
  <c r="O4" i="33" l="1"/>
  <c r="P4" i="33"/>
  <c r="Q4" i="33"/>
  <c r="R4" i="33"/>
  <c r="R10" i="33"/>
  <c r="R9" i="33"/>
  <c r="R44" i="33"/>
  <c r="Q9" i="33" l="1"/>
  <c r="Q10" i="33"/>
  <c r="Q20" i="33"/>
  <c r="Q44" i="33"/>
  <c r="P44" i="33"/>
  <c r="Q36" i="33"/>
  <c r="Q11" i="33"/>
  <c r="Q30" i="33"/>
  <c r="P9" i="33" l="1"/>
  <c r="P10" i="33"/>
  <c r="P30" i="33" l="1"/>
  <c r="P34" i="33"/>
  <c r="P28" i="33"/>
  <c r="P20" i="33" l="1"/>
  <c r="O30" i="33" l="1"/>
  <c r="O44" i="33" l="1"/>
  <c r="O9" i="33" l="1"/>
  <c r="O10" i="33"/>
  <c r="O20" i="33"/>
  <c r="O11" i="33"/>
  <c r="O13" i="33" l="1"/>
  <c r="E5" i="34" l="1"/>
  <c r="G5" i="34" s="1"/>
  <c r="N4" i="33"/>
  <c r="N44" i="33"/>
  <c r="N10" i="33" l="1"/>
  <c r="N9" i="33" s="1"/>
  <c r="N20" i="33"/>
  <c r="M44" i="33" l="1"/>
  <c r="M4" i="33" l="1"/>
  <c r="M9" i="33" l="1"/>
  <c r="M10" i="33"/>
  <c r="M20" i="33"/>
  <c r="M11" i="33"/>
  <c r="M36" i="33"/>
  <c r="M30" i="33"/>
  <c r="C17" i="34" l="1"/>
  <c r="C20" i="34" s="1"/>
  <c r="B29" i="34"/>
  <c r="L41" i="33" l="1"/>
  <c r="F6" i="34" l="1"/>
  <c r="C6" i="34"/>
  <c r="E2" i="34"/>
  <c r="G2" i="34" s="1"/>
  <c r="E4" i="34"/>
  <c r="G4" i="34" s="1"/>
  <c r="E3" i="34"/>
  <c r="G3" i="34" s="1"/>
  <c r="G6" i="34" l="1"/>
  <c r="E6" i="34"/>
  <c r="L4" i="33"/>
  <c r="L10" i="33"/>
  <c r="L9" i="33" s="1"/>
  <c r="K44" i="33"/>
  <c r="L44" i="33"/>
  <c r="L42" i="33" l="1"/>
  <c r="L26" i="33" l="1"/>
  <c r="L20" i="33"/>
  <c r="L30" i="33"/>
  <c r="K4" i="33" l="1"/>
  <c r="K9" i="33"/>
  <c r="K10" i="33"/>
  <c r="K11" i="33"/>
  <c r="K24" i="33" l="1"/>
  <c r="J44" i="33" l="1"/>
  <c r="J24" i="33"/>
  <c r="J10" i="33" l="1"/>
  <c r="J9" i="33" s="1"/>
  <c r="J4" i="33"/>
  <c r="J26" i="33"/>
  <c r="J20" i="33"/>
  <c r="J30" i="33"/>
  <c r="I44" i="33" l="1"/>
  <c r="I9" i="33" l="1"/>
  <c r="I10" i="33"/>
  <c r="I4" i="33"/>
  <c r="I20" i="33"/>
  <c r="I11" i="33"/>
  <c r="I30" i="33"/>
  <c r="I41" i="33"/>
  <c r="I22" i="33"/>
  <c r="I28" i="33"/>
  <c r="H9" i="33" l="1"/>
  <c r="H10" i="33"/>
  <c r="G10" i="33"/>
  <c r="G9" i="33"/>
  <c r="H20" i="33"/>
  <c r="H26" i="33"/>
  <c r="H4" i="33"/>
  <c r="G4" i="33"/>
  <c r="H15" i="33"/>
  <c r="H44" i="33"/>
  <c r="H41" i="33" l="1"/>
  <c r="G41" i="33" l="1"/>
  <c r="G44" i="33"/>
  <c r="G26" i="33"/>
  <c r="G11" i="33"/>
  <c r="G43" i="33" l="1"/>
  <c r="E46" i="33" l="1"/>
  <c r="E45" i="33"/>
  <c r="Q8" i="33"/>
  <c r="F43" i="33"/>
  <c r="O8" i="33"/>
  <c r="F42" i="33"/>
  <c r="J8" i="33"/>
  <c r="H8" i="33"/>
  <c r="F40" i="33"/>
  <c r="F39" i="33"/>
  <c r="F38" i="33"/>
  <c r="F37" i="33"/>
  <c r="F36" i="33"/>
  <c r="F35" i="33"/>
  <c r="F34" i="33"/>
  <c r="F33" i="33"/>
  <c r="F32" i="33"/>
  <c r="F31" i="33"/>
  <c r="F30" i="33"/>
  <c r="F29" i="33"/>
  <c r="F28" i="33"/>
  <c r="F27" i="33"/>
  <c r="F25" i="33"/>
  <c r="F24" i="33"/>
  <c r="F23" i="33"/>
  <c r="F21" i="33"/>
  <c r="F20" i="33"/>
  <c r="F19" i="33"/>
  <c r="F18" i="33"/>
  <c r="F17" i="33"/>
  <c r="F16" i="33"/>
  <c r="F15" i="33"/>
  <c r="F14" i="33"/>
  <c r="F13" i="33"/>
  <c r="F12" i="33"/>
  <c r="F11" i="33"/>
  <c r="F10" i="33"/>
  <c r="K8" i="33"/>
  <c r="F4" i="33"/>
  <c r="R41" i="29"/>
  <c r="Q45" i="29"/>
  <c r="F45" i="29"/>
  <c r="F44" i="29"/>
  <c r="F43" i="29"/>
  <c r="F42" i="29"/>
  <c r="F41" i="29"/>
  <c r="F40" i="29"/>
  <c r="F39" i="29"/>
  <c r="F38" i="29"/>
  <c r="F37" i="29"/>
  <c r="F36" i="29"/>
  <c r="F35" i="29"/>
  <c r="F34" i="29"/>
  <c r="F33" i="29"/>
  <c r="F32" i="29"/>
  <c r="F31" i="29"/>
  <c r="F30" i="29"/>
  <c r="F29" i="29"/>
  <c r="F28" i="29"/>
  <c r="F27" i="29"/>
  <c r="F26" i="29"/>
  <c r="F25" i="29"/>
  <c r="F24" i="29"/>
  <c r="F23" i="29"/>
  <c r="F22" i="29"/>
  <c r="F21" i="29"/>
  <c r="F20" i="29"/>
  <c r="F19" i="29"/>
  <c r="F18" i="29"/>
  <c r="F17" i="29"/>
  <c r="F16" i="29"/>
  <c r="F15" i="29"/>
  <c r="F14" i="29"/>
  <c r="F13" i="29"/>
  <c r="F12" i="29"/>
  <c r="F11" i="29"/>
  <c r="F10" i="29"/>
  <c r="R45" i="29"/>
  <c r="R42" i="29"/>
  <c r="Q9" i="29"/>
  <c r="Q10" i="29"/>
  <c r="F9" i="29"/>
  <c r="R9" i="29"/>
  <c r="R10" i="29"/>
  <c r="R1" i="29"/>
  <c r="R21" i="29"/>
  <c r="R12" i="29"/>
  <c r="R28" i="29"/>
  <c r="R30" i="29"/>
  <c r="Q42" i="29"/>
  <c r="Q50" i="29"/>
  <c r="Q44" i="29"/>
  <c r="Q21" i="29"/>
  <c r="Q26" i="29"/>
  <c r="Q4" i="29"/>
  <c r="F4" i="29"/>
  <c r="Q30" i="29"/>
  <c r="Q11" i="29"/>
  <c r="Q34" i="29"/>
  <c r="Q36" i="29"/>
  <c r="Q40" i="29"/>
  <c r="P43" i="29"/>
  <c r="P10" i="29"/>
  <c r="P9" i="29"/>
  <c r="P45" i="29"/>
  <c r="P50" i="29"/>
  <c r="O6" i="29"/>
  <c r="N6" i="29"/>
  <c r="M6" i="29"/>
  <c r="L6" i="29"/>
  <c r="K6" i="29"/>
  <c r="J6" i="29"/>
  <c r="I6" i="29"/>
  <c r="H6" i="29"/>
  <c r="P42" i="29"/>
  <c r="P4" i="29"/>
  <c r="P26" i="29"/>
  <c r="P21" i="29"/>
  <c r="P34" i="29"/>
  <c r="P40" i="29"/>
  <c r="O42" i="29"/>
  <c r="O8" i="29"/>
  <c r="O43" i="29"/>
  <c r="O30" i="29"/>
  <c r="O45" i="29"/>
  <c r="O31" i="29"/>
  <c r="O4" i="29"/>
  <c r="O10" i="29"/>
  <c r="O9" i="29"/>
  <c r="O21" i="29"/>
  <c r="O23" i="29"/>
  <c r="O11" i="29"/>
  <c r="O29" i="29"/>
  <c r="O34" i="29"/>
  <c r="O40" i="29"/>
  <c r="N43" i="29"/>
  <c r="N42" i="29"/>
  <c r="H43" i="29"/>
  <c r="N8" i="29"/>
  <c r="N5" i="29"/>
  <c r="N45" i="29"/>
  <c r="N50" i="29"/>
  <c r="N21" i="29"/>
  <c r="N26" i="29"/>
  <c r="M9" i="29"/>
  <c r="M10" i="29"/>
  <c r="N9" i="29"/>
  <c r="N10" i="29"/>
  <c r="M30" i="29"/>
  <c r="M41" i="29"/>
  <c r="M4" i="29"/>
  <c r="M45" i="29"/>
  <c r="M26" i="29"/>
  <c r="M21" i="29"/>
  <c r="M11" i="29"/>
  <c r="M40" i="29"/>
  <c r="M23" i="29"/>
  <c r="N36" i="29"/>
  <c r="L42" i="29"/>
  <c r="L31" i="29"/>
  <c r="L8" i="29"/>
  <c r="L5" i="29"/>
  <c r="L23" i="29"/>
  <c r="L30" i="29"/>
  <c r="L45" i="29"/>
  <c r="L21" i="29"/>
  <c r="L26" i="29"/>
  <c r="K30" i="29"/>
  <c r="L9" i="29"/>
  <c r="K4" i="29"/>
  <c r="K45" i="29"/>
  <c r="K21" i="29"/>
  <c r="K26" i="29"/>
  <c r="K11" i="29"/>
  <c r="K9" i="29"/>
  <c r="J45" i="29"/>
  <c r="J50" i="29"/>
  <c r="J30" i="29"/>
  <c r="J41" i="29"/>
  <c r="J38" i="29"/>
  <c r="J26" i="29"/>
  <c r="J21" i="29"/>
  <c r="J4" i="29"/>
  <c r="J42" i="29"/>
  <c r="J27" i="29"/>
  <c r="J9" i="29"/>
  <c r="I41" i="29"/>
  <c r="I45" i="29"/>
  <c r="I42" i="29"/>
  <c r="I4" i="29"/>
  <c r="H45" i="29"/>
  <c r="I21" i="29"/>
  <c r="I8" i="29"/>
  <c r="I5" i="29"/>
  <c r="I11" i="29"/>
  <c r="I28" i="29"/>
  <c r="I9" i="29"/>
  <c r="I30" i="29"/>
  <c r="H42" i="29"/>
  <c r="H26" i="29"/>
  <c r="H21" i="29"/>
  <c r="H4" i="29"/>
  <c r="H9" i="29"/>
  <c r="H8" i="29"/>
  <c r="H28" i="29"/>
  <c r="H40" i="29"/>
  <c r="H30" i="29"/>
  <c r="H50" i="29"/>
  <c r="G25" i="29"/>
  <c r="G38" i="29"/>
  <c r="G4" i="29"/>
  <c r="G21" i="29"/>
  <c r="G8" i="29"/>
  <c r="G5" i="29"/>
  <c r="G26" i="29"/>
  <c r="G41" i="29"/>
  <c r="G42" i="29"/>
  <c r="G9" i="29"/>
  <c r="G11" i="29"/>
  <c r="G30" i="29"/>
  <c r="G24" i="29"/>
  <c r="G31" i="29"/>
  <c r="O50" i="29"/>
  <c r="G126" i="29"/>
  <c r="H126" i="29"/>
  <c r="F126" i="29"/>
  <c r="H125" i="29"/>
  <c r="G125" i="29"/>
  <c r="F125" i="29"/>
  <c r="C124" i="29"/>
  <c r="C119" i="29"/>
  <c r="C102" i="29"/>
  <c r="C101" i="29"/>
  <c r="C100" i="29"/>
  <c r="C99" i="29"/>
  <c r="F91" i="29"/>
  <c r="E90" i="29"/>
  <c r="E89" i="29"/>
  <c r="E91" i="29"/>
  <c r="I85" i="29"/>
  <c r="E84" i="29"/>
  <c r="F83" i="29"/>
  <c r="F82" i="29"/>
  <c r="F84" i="29"/>
  <c r="C75" i="29"/>
  <c r="C67" i="29"/>
  <c r="C65" i="29"/>
  <c r="C64" i="29"/>
  <c r="C63" i="29"/>
  <c r="C62" i="29"/>
  <c r="P54" i="29"/>
  <c r="O54" i="29"/>
  <c r="E47" i="29"/>
  <c r="E46" i="29"/>
  <c r="E48" i="29"/>
  <c r="L50" i="29"/>
  <c r="K50" i="29"/>
  <c r="C66" i="29"/>
  <c r="R4" i="29"/>
  <c r="N4" i="29"/>
  <c r="L4" i="29"/>
  <c r="Q43" i="23"/>
  <c r="Q42" i="23"/>
  <c r="E42" i="23"/>
  <c r="Q21" i="23"/>
  <c r="Q26" i="23"/>
  <c r="Q4" i="23"/>
  <c r="Q9" i="23"/>
  <c r="Q30" i="23"/>
  <c r="E30" i="23"/>
  <c r="Q41" i="23"/>
  <c r="P43" i="23"/>
  <c r="Q31" i="23"/>
  <c r="P21" i="23"/>
  <c r="P26" i="23"/>
  <c r="E26" i="23"/>
  <c r="P36" i="23"/>
  <c r="P11" i="23"/>
  <c r="P34" i="23"/>
  <c r="E34" i="23"/>
  <c r="P9" i="23"/>
  <c r="E16" i="23"/>
  <c r="P4" i="23"/>
  <c r="K7" i="10"/>
  <c r="K8" i="10"/>
  <c r="P41" i="23"/>
  <c r="P42" i="23"/>
  <c r="P30" i="23"/>
  <c r="O43" i="23"/>
  <c r="O4" i="23"/>
  <c r="O21" i="23"/>
  <c r="O34" i="23"/>
  <c r="O9" i="23"/>
  <c r="O8" i="23"/>
  <c r="O5" i="23"/>
  <c r="N9" i="23"/>
  <c r="O42" i="23"/>
  <c r="N43" i="23"/>
  <c r="N37" i="23"/>
  <c r="Q8" i="23"/>
  <c r="Q5" i="23"/>
  <c r="N11" i="23"/>
  <c r="N21" i="23"/>
  <c r="N8" i="23"/>
  <c r="N5" i="23"/>
  <c r="N34" i="23"/>
  <c r="N29" i="23"/>
  <c r="N41" i="23"/>
  <c r="N4" i="23"/>
  <c r="M4" i="23"/>
  <c r="M42" i="23"/>
  <c r="M41" i="23"/>
  <c r="M31" i="23"/>
  <c r="F9" i="23"/>
  <c r="F8" i="23"/>
  <c r="F5" i="23"/>
  <c r="M9" i="23"/>
  <c r="L9" i="23"/>
  <c r="K9" i="23"/>
  <c r="J9" i="23"/>
  <c r="J8" i="23"/>
  <c r="J5" i="23"/>
  <c r="I9" i="23"/>
  <c r="I8" i="23"/>
  <c r="I5" i="23"/>
  <c r="H9" i="23"/>
  <c r="G9" i="23"/>
  <c r="E9" i="23"/>
  <c r="D45" i="23"/>
  <c r="C60" i="23"/>
  <c r="F43" i="23"/>
  <c r="G43" i="23"/>
  <c r="E43" i="23"/>
  <c r="H43" i="23"/>
  <c r="G48" i="23"/>
  <c r="J43" i="23"/>
  <c r="K43" i="23"/>
  <c r="K8" i="23"/>
  <c r="K5" i="23"/>
  <c r="L43" i="23"/>
  <c r="L48" i="23"/>
  <c r="M37" i="23"/>
  <c r="M25" i="23"/>
  <c r="M21" i="23"/>
  <c r="M30" i="23"/>
  <c r="M26" i="23"/>
  <c r="B54" i="2"/>
  <c r="B52" i="2"/>
  <c r="B51" i="2"/>
  <c r="B49" i="2"/>
  <c r="B48" i="2"/>
  <c r="B47" i="2"/>
  <c r="B46" i="2"/>
  <c r="L41" i="23"/>
  <c r="L4" i="23"/>
  <c r="K4" i="23"/>
  <c r="J7" i="10"/>
  <c r="J8" i="10"/>
  <c r="L30" i="23"/>
  <c r="L21" i="23"/>
  <c r="L26" i="23"/>
  <c r="L11" i="23"/>
  <c r="K41" i="23"/>
  <c r="K26" i="23"/>
  <c r="K21" i="23"/>
  <c r="K19" i="23"/>
  <c r="K30" i="23"/>
  <c r="J21" i="23"/>
  <c r="J11" i="23"/>
  <c r="J26" i="23"/>
  <c r="J24" i="23"/>
  <c r="J4" i="23"/>
  <c r="I41" i="23"/>
  <c r="I37" i="23"/>
  <c r="I43" i="23"/>
  <c r="H48" i="23"/>
  <c r="I26" i="23"/>
  <c r="I21" i="23"/>
  <c r="I27" i="23"/>
  <c r="I4" i="23"/>
  <c r="H41" i="23"/>
  <c r="E40" i="23"/>
  <c r="E39" i="23"/>
  <c r="E38" i="23"/>
  <c r="E37" i="23"/>
  <c r="E36" i="23"/>
  <c r="E35" i="23"/>
  <c r="E33" i="23"/>
  <c r="E32" i="23"/>
  <c r="E29" i="23"/>
  <c r="E27" i="23"/>
  <c r="E24" i="23"/>
  <c r="E23" i="23"/>
  <c r="E22" i="23"/>
  <c r="E20" i="23"/>
  <c r="E19" i="23"/>
  <c r="E15" i="23"/>
  <c r="E14" i="23"/>
  <c r="E13" i="23"/>
  <c r="E12" i="23"/>
  <c r="G4" i="23"/>
  <c r="H4" i="23"/>
  <c r="H21" i="23"/>
  <c r="H8" i="23"/>
  <c r="H5" i="23"/>
  <c r="H26" i="23"/>
  <c r="H11" i="23"/>
  <c r="H28" i="23"/>
  <c r="G28" i="23"/>
  <c r="G26" i="23"/>
  <c r="G30" i="23"/>
  <c r="G21" i="23"/>
  <c r="E21" i="23"/>
  <c r="N48" i="23"/>
  <c r="F124" i="23"/>
  <c r="E124" i="23"/>
  <c r="G124" i="23"/>
  <c r="F123" i="23"/>
  <c r="E123" i="23"/>
  <c r="G123" i="23"/>
  <c r="C122" i="23"/>
  <c r="C117" i="23"/>
  <c r="C100" i="23"/>
  <c r="C99" i="23"/>
  <c r="C98" i="23"/>
  <c r="C97" i="23"/>
  <c r="E89" i="23"/>
  <c r="D88" i="23"/>
  <c r="D89" i="23"/>
  <c r="D87" i="23"/>
  <c r="H83" i="23"/>
  <c r="D82" i="23"/>
  <c r="E81" i="23"/>
  <c r="E82" i="23"/>
  <c r="E80" i="23"/>
  <c r="C73" i="23"/>
  <c r="C65" i="23"/>
  <c r="C63" i="23"/>
  <c r="C66" i="23"/>
  <c r="C62" i="23"/>
  <c r="C61" i="23"/>
  <c r="O52" i="23"/>
  <c r="N52" i="23"/>
  <c r="D42" i="23"/>
  <c r="C64" i="23"/>
  <c r="P28" i="19"/>
  <c r="P41" i="19"/>
  <c r="P16" i="19"/>
  <c r="P14" i="19"/>
  <c r="D14" i="19"/>
  <c r="P8" i="19"/>
  <c r="P40" i="19"/>
  <c r="O8" i="19"/>
  <c r="O14" i="19"/>
  <c r="O13" i="19"/>
  <c r="O28" i="19"/>
  <c r="O16" i="19"/>
  <c r="O30" i="19"/>
  <c r="O43" i="19"/>
  <c r="O41" i="19"/>
  <c r="N43" i="19"/>
  <c r="N14" i="19"/>
  <c r="N28" i="19"/>
  <c r="N16" i="19"/>
  <c r="N11" i="19"/>
  <c r="N25" i="19"/>
  <c r="N41" i="19"/>
  <c r="N8" i="19"/>
  <c r="M43" i="19"/>
  <c r="M41" i="19"/>
  <c r="M16" i="19"/>
  <c r="M14" i="19"/>
  <c r="M25" i="19"/>
  <c r="M28" i="19"/>
  <c r="M13" i="19"/>
  <c r="M8" i="19"/>
  <c r="L43" i="19"/>
  <c r="L28" i="19"/>
  <c r="L14" i="19"/>
  <c r="L16" i="19"/>
  <c r="L41" i="19"/>
  <c r="L8" i="19"/>
  <c r="K8" i="19"/>
  <c r="K43" i="19"/>
  <c r="K52" i="19"/>
  <c r="K41" i="19"/>
  <c r="K13" i="19"/>
  <c r="K28" i="19"/>
  <c r="K14" i="19"/>
  <c r="K16" i="19"/>
  <c r="J33" i="19"/>
  <c r="J43" i="19"/>
  <c r="J14" i="19"/>
  <c r="J11" i="19"/>
  <c r="J16" i="19"/>
  <c r="J41" i="19"/>
  <c r="J28" i="19"/>
  <c r="J8" i="19"/>
  <c r="J9" i="19"/>
  <c r="I43" i="19"/>
  <c r="I14" i="19"/>
  <c r="I13" i="19"/>
  <c r="I28" i="19"/>
  <c r="I41" i="19"/>
  <c r="I8" i="19"/>
  <c r="H43" i="19"/>
  <c r="H41" i="19"/>
  <c r="H16" i="19"/>
  <c r="H14" i="19"/>
  <c r="H8" i="19"/>
  <c r="G41" i="19"/>
  <c r="G52" i="19"/>
  <c r="G43" i="19"/>
  <c r="G28" i="19"/>
  <c r="G8" i="19"/>
  <c r="G13" i="19"/>
  <c r="G14" i="19"/>
  <c r="G17" i="19"/>
  <c r="F43" i="19"/>
  <c r="F8" i="19"/>
  <c r="E26" i="19"/>
  <c r="F26" i="19"/>
  <c r="F14" i="19"/>
  <c r="D22" i="19"/>
  <c r="E43" i="19"/>
  <c r="D130" i="22"/>
  <c r="E130" i="22"/>
  <c r="F130" i="22"/>
  <c r="D129" i="22"/>
  <c r="F129" i="22"/>
  <c r="E129" i="22"/>
  <c r="B128" i="22"/>
  <c r="B123" i="22"/>
  <c r="B103" i="22"/>
  <c r="B104" i="22"/>
  <c r="B108" i="22"/>
  <c r="B105" i="22"/>
  <c r="B106" i="22"/>
  <c r="D95" i="22"/>
  <c r="C93" i="22"/>
  <c r="C95" i="22"/>
  <c r="C94" i="22"/>
  <c r="G89" i="22"/>
  <c r="D86" i="22"/>
  <c r="D88" i="22"/>
  <c r="D87" i="22"/>
  <c r="C88" i="22"/>
  <c r="B79" i="22"/>
  <c r="B66" i="22"/>
  <c r="B67" i="22"/>
  <c r="B68" i="22"/>
  <c r="B69" i="22"/>
  <c r="C41" i="22"/>
  <c r="C43" i="22"/>
  <c r="C44" i="22"/>
  <c r="C47" i="22"/>
  <c r="C48" i="22"/>
  <c r="B71" i="22"/>
  <c r="N55" i="22"/>
  <c r="M55" i="22"/>
  <c r="O42" i="22"/>
  <c r="O51" i="22"/>
  <c r="N32" i="22"/>
  <c r="N51" i="22"/>
  <c r="N42" i="22"/>
  <c r="M42" i="22"/>
  <c r="M51" i="22"/>
  <c r="L32" i="22"/>
  <c r="L42" i="22"/>
  <c r="L51" i="22"/>
  <c r="K42" i="22"/>
  <c r="K51" i="22"/>
  <c r="J42" i="22"/>
  <c r="J51" i="22"/>
  <c r="I32" i="22"/>
  <c r="I51" i="22"/>
  <c r="I42" i="22"/>
  <c r="H32" i="22"/>
  <c r="H42" i="22"/>
  <c r="G32" i="22"/>
  <c r="G51" i="22"/>
  <c r="G42" i="22"/>
  <c r="F51" i="22"/>
  <c r="E32" i="22"/>
  <c r="E42" i="22"/>
  <c r="F42" i="22"/>
  <c r="P42" i="22"/>
  <c r="D12" i="22"/>
  <c r="E13" i="22"/>
  <c r="G13" i="22"/>
  <c r="H13" i="22"/>
  <c r="K13" i="22"/>
  <c r="L13" i="22"/>
  <c r="M13" i="22"/>
  <c r="N13" i="22"/>
  <c r="O13" i="22"/>
  <c r="E14" i="22"/>
  <c r="D14" i="22"/>
  <c r="F14" i="22"/>
  <c r="G14" i="22"/>
  <c r="H14" i="22"/>
  <c r="I14" i="22"/>
  <c r="I11" i="22"/>
  <c r="I9" i="22"/>
  <c r="J14" i="22"/>
  <c r="K14" i="22"/>
  <c r="L14" i="22"/>
  <c r="M14" i="22"/>
  <c r="N14" i="22"/>
  <c r="O14" i="22"/>
  <c r="P14" i="22"/>
  <c r="D15" i="22"/>
  <c r="N16" i="22"/>
  <c r="O16" i="22"/>
  <c r="G17" i="22"/>
  <c r="D17" i="22"/>
  <c r="D18" i="22"/>
  <c r="D19" i="22"/>
  <c r="M20" i="22"/>
  <c r="D20" i="22"/>
  <c r="D21" i="22"/>
  <c r="D22" i="22"/>
  <c r="D23" i="22"/>
  <c r="M24" i="22"/>
  <c r="N24" i="22"/>
  <c r="D24" i="22"/>
  <c r="G25" i="22"/>
  <c r="D25" i="22"/>
  <c r="D26" i="22"/>
  <c r="E27" i="22"/>
  <c r="F27" i="22"/>
  <c r="F11" i="22"/>
  <c r="G27" i="22"/>
  <c r="H27" i="22"/>
  <c r="I27" i="22"/>
  <c r="J27" i="22"/>
  <c r="K27" i="22"/>
  <c r="L27" i="22"/>
  <c r="M27" i="22"/>
  <c r="N27" i="22"/>
  <c r="N11" i="22"/>
  <c r="O27" i="22"/>
  <c r="I28" i="22"/>
  <c r="D28" i="22"/>
  <c r="D29" i="22"/>
  <c r="D30" i="22"/>
  <c r="D41" i="22"/>
  <c r="P40" i="22"/>
  <c r="P11" i="22"/>
  <c r="P9" i="22"/>
  <c r="O40" i="22"/>
  <c r="N40" i="22"/>
  <c r="L40" i="22"/>
  <c r="L11" i="22"/>
  <c r="J40" i="22"/>
  <c r="J11" i="22"/>
  <c r="H40" i="22"/>
  <c r="K39" i="22"/>
  <c r="K11" i="22"/>
  <c r="K9" i="22"/>
  <c r="P8" i="22"/>
  <c r="O8" i="22"/>
  <c r="N8" i="22"/>
  <c r="N9" i="22"/>
  <c r="M8" i="22"/>
  <c r="L8" i="22"/>
  <c r="K8" i="22"/>
  <c r="J8" i="22"/>
  <c r="I8" i="22"/>
  <c r="H8" i="22"/>
  <c r="G8" i="22"/>
  <c r="F8" i="22"/>
  <c r="F9" i="22"/>
  <c r="E8" i="22"/>
  <c r="D8" i="22"/>
  <c r="I2" i="10"/>
  <c r="I7" i="10"/>
  <c r="I8" i="10"/>
  <c r="H7" i="10"/>
  <c r="H8" i="10"/>
  <c r="G7" i="10"/>
  <c r="G8" i="10"/>
  <c r="F7" i="10"/>
  <c r="F8" i="10"/>
  <c r="E7" i="10"/>
  <c r="E8" i="10"/>
  <c r="D7" i="10"/>
  <c r="D8" i="10"/>
  <c r="E41" i="19"/>
  <c r="E8" i="19"/>
  <c r="E28" i="19"/>
  <c r="E16" i="19"/>
  <c r="E14" i="19"/>
  <c r="E11" i="19"/>
  <c r="E13" i="19"/>
  <c r="B3" i="3"/>
  <c r="M3" i="3"/>
  <c r="N3" i="3"/>
  <c r="O3" i="3"/>
  <c r="E6" i="3"/>
  <c r="E7" i="3"/>
  <c r="F6" i="3"/>
  <c r="G6" i="3"/>
  <c r="H6" i="3"/>
  <c r="I6" i="3"/>
  <c r="J6" i="3"/>
  <c r="K6" i="3"/>
  <c r="L6" i="3"/>
  <c r="M6" i="3"/>
  <c r="N6" i="3"/>
  <c r="O6" i="3"/>
  <c r="P6" i="3"/>
  <c r="F9" i="3"/>
  <c r="F7" i="3"/>
  <c r="C10" i="3"/>
  <c r="E11" i="3"/>
  <c r="I11" i="3"/>
  <c r="K11" i="3"/>
  <c r="C11" i="3"/>
  <c r="M11" i="3"/>
  <c r="O11" i="3"/>
  <c r="F12" i="3"/>
  <c r="I12" i="3"/>
  <c r="J12" i="3"/>
  <c r="K12" i="3"/>
  <c r="L12" i="3"/>
  <c r="M12" i="3"/>
  <c r="N12" i="3"/>
  <c r="O12" i="3"/>
  <c r="C13" i="3"/>
  <c r="C14" i="3"/>
  <c r="K14" i="3"/>
  <c r="N14" i="3"/>
  <c r="C15" i="3"/>
  <c r="C16" i="3"/>
  <c r="C17" i="3"/>
  <c r="C18" i="3"/>
  <c r="E18" i="3"/>
  <c r="E9" i="3"/>
  <c r="C19" i="3"/>
  <c r="B20" i="3"/>
  <c r="N20" i="3"/>
  <c r="O20" i="3"/>
  <c r="C20" i="3"/>
  <c r="K21" i="3"/>
  <c r="C21" i="3"/>
  <c r="B22" i="3"/>
  <c r="B41" i="3"/>
  <c r="C22" i="3"/>
  <c r="C23" i="3"/>
  <c r="F24" i="3"/>
  <c r="I24" i="3"/>
  <c r="C24" i="3"/>
  <c r="J24" i="3"/>
  <c r="K24" i="3"/>
  <c r="L24" i="3"/>
  <c r="L9" i="3"/>
  <c r="L7" i="3"/>
  <c r="M24" i="3"/>
  <c r="N24" i="3"/>
  <c r="O24" i="3"/>
  <c r="O9" i="3"/>
  <c r="O7" i="3"/>
  <c r="P24" i="3"/>
  <c r="P9" i="3"/>
  <c r="P7" i="3"/>
  <c r="C25" i="3"/>
  <c r="B26" i="3"/>
  <c r="C26" i="3"/>
  <c r="C27" i="3"/>
  <c r="E28" i="3"/>
  <c r="F28" i="3"/>
  <c r="G28" i="3"/>
  <c r="H28" i="3"/>
  <c r="I28" i="3"/>
  <c r="J28" i="3"/>
  <c r="J31" i="3"/>
  <c r="L28" i="3"/>
  <c r="L31" i="3"/>
  <c r="M28" i="3"/>
  <c r="M31" i="3"/>
  <c r="N28" i="3"/>
  <c r="N31" i="3"/>
  <c r="O28" i="3"/>
  <c r="O31" i="3"/>
  <c r="P28" i="3"/>
  <c r="E31" i="3"/>
  <c r="F31" i="3"/>
  <c r="H31" i="3"/>
  <c r="H9" i="3"/>
  <c r="I31" i="3"/>
  <c r="K31" i="3"/>
  <c r="P31" i="3"/>
  <c r="K34" i="3"/>
  <c r="C34" i="3"/>
  <c r="P34" i="3"/>
  <c r="N36" i="3"/>
  <c r="C36" i="3"/>
  <c r="B5" i="5"/>
  <c r="B10" i="5"/>
  <c r="C2" i="1"/>
  <c r="B3" i="1"/>
  <c r="J4" i="1"/>
  <c r="E7" i="1"/>
  <c r="C7" i="1"/>
  <c r="F7" i="1"/>
  <c r="G7" i="1"/>
  <c r="H7" i="1"/>
  <c r="I7" i="1"/>
  <c r="J7" i="1"/>
  <c r="K7" i="1"/>
  <c r="L7" i="1"/>
  <c r="M7" i="1"/>
  <c r="N7" i="1"/>
  <c r="O7" i="1"/>
  <c r="P7" i="1"/>
  <c r="P8" i="1"/>
  <c r="C11" i="1"/>
  <c r="K11" i="1"/>
  <c r="E12" i="1"/>
  <c r="G12" i="1"/>
  <c r="I12" i="1"/>
  <c r="J12" i="1"/>
  <c r="L12" i="1"/>
  <c r="M12" i="1"/>
  <c r="M10" i="1"/>
  <c r="M8" i="1"/>
  <c r="O12" i="1"/>
  <c r="P12" i="1"/>
  <c r="E13" i="1"/>
  <c r="F13" i="1"/>
  <c r="G13" i="1"/>
  <c r="H13" i="1"/>
  <c r="I13" i="1"/>
  <c r="J13" i="1"/>
  <c r="K13" i="1"/>
  <c r="L13" i="1"/>
  <c r="M13" i="1"/>
  <c r="N13" i="1"/>
  <c r="O13" i="1"/>
  <c r="P13" i="1"/>
  <c r="P10" i="1"/>
  <c r="C15" i="1"/>
  <c r="I15" i="1"/>
  <c r="C16" i="1"/>
  <c r="G17" i="1"/>
  <c r="C17" i="1"/>
  <c r="J17" i="1"/>
  <c r="J18" i="1"/>
  <c r="P18" i="1"/>
  <c r="C18" i="1"/>
  <c r="B19" i="1"/>
  <c r="G19" i="1"/>
  <c r="J19" i="1"/>
  <c r="J10" i="1"/>
  <c r="J8" i="1"/>
  <c r="C19" i="1"/>
  <c r="P19" i="1"/>
  <c r="L20" i="1"/>
  <c r="O20" i="1"/>
  <c r="C20" i="1"/>
  <c r="O21" i="1"/>
  <c r="C21" i="1"/>
  <c r="C22" i="1"/>
  <c r="E22" i="1"/>
  <c r="E10" i="1"/>
  <c r="B23" i="1"/>
  <c r="M23" i="1"/>
  <c r="N23" i="1"/>
  <c r="O23" i="1"/>
  <c r="C24" i="1"/>
  <c r="L24" i="1"/>
  <c r="B25" i="1"/>
  <c r="E25" i="1"/>
  <c r="F25" i="1"/>
  <c r="G25" i="1"/>
  <c r="H25" i="1"/>
  <c r="I25" i="1"/>
  <c r="C25" i="1"/>
  <c r="J25" i="1"/>
  <c r="K25" i="1"/>
  <c r="L25" i="1"/>
  <c r="M25" i="1"/>
  <c r="H26" i="1"/>
  <c r="L26" i="1"/>
  <c r="C26" i="1"/>
  <c r="E27" i="1"/>
  <c r="F27" i="1"/>
  <c r="G27" i="1"/>
  <c r="H27" i="1"/>
  <c r="I27" i="1"/>
  <c r="J27" i="1"/>
  <c r="K27" i="1"/>
  <c r="L27" i="1"/>
  <c r="M27" i="1"/>
  <c r="N27" i="1"/>
  <c r="O27" i="1"/>
  <c r="P27" i="1"/>
  <c r="I28" i="1"/>
  <c r="C28" i="1"/>
  <c r="L28" i="1"/>
  <c r="B29" i="1"/>
  <c r="E29" i="1"/>
  <c r="C29" i="1"/>
  <c r="I29" i="1"/>
  <c r="N29" i="1"/>
  <c r="K30" i="1"/>
  <c r="C30" i="1"/>
  <c r="L30" i="1"/>
  <c r="M30" i="1"/>
  <c r="O30" i="1"/>
  <c r="C31" i="1"/>
  <c r="B32" i="1"/>
  <c r="C32" i="1"/>
  <c r="C33" i="1"/>
  <c r="C34" i="1"/>
  <c r="C35" i="1"/>
  <c r="C36" i="1"/>
  <c r="L37" i="1"/>
  <c r="C37" i="1"/>
  <c r="C40" i="1"/>
  <c r="E42" i="1"/>
  <c r="F42" i="1"/>
  <c r="G42" i="1"/>
  <c r="G45" i="1"/>
  <c r="H42" i="1"/>
  <c r="I42" i="1"/>
  <c r="K42" i="1"/>
  <c r="K45" i="1"/>
  <c r="L42" i="1"/>
  <c r="M42" i="1"/>
  <c r="M45" i="1"/>
  <c r="N42" i="1"/>
  <c r="O42" i="1"/>
  <c r="O45" i="1"/>
  <c r="P42" i="1"/>
  <c r="E45" i="1"/>
  <c r="H45" i="1"/>
  <c r="I45" i="1"/>
  <c r="I10" i="1"/>
  <c r="J45" i="1"/>
  <c r="L45" i="1"/>
  <c r="P45" i="1"/>
  <c r="E47" i="1"/>
  <c r="J47" i="1"/>
  <c r="L47" i="1"/>
  <c r="N47" i="1"/>
  <c r="O47" i="1"/>
  <c r="K50" i="1"/>
  <c r="N51" i="1"/>
  <c r="N45" i="1"/>
  <c r="N10" i="1"/>
  <c r="N8" i="1"/>
  <c r="L52" i="1"/>
  <c r="O52" i="1"/>
  <c r="B54" i="1"/>
  <c r="G3" i="20"/>
  <c r="G4" i="20"/>
  <c r="C7" i="10"/>
  <c r="C8" i="10"/>
  <c r="G14" i="10"/>
  <c r="F18" i="10"/>
  <c r="G18" i="10"/>
  <c r="F21" i="10"/>
  <c r="G21" i="10"/>
  <c r="E1" i="6"/>
  <c r="D2" i="6"/>
  <c r="F6" i="6"/>
  <c r="G6" i="6"/>
  <c r="H6" i="6"/>
  <c r="I6" i="6"/>
  <c r="J6" i="6"/>
  <c r="K6" i="6"/>
  <c r="L6" i="6"/>
  <c r="M6" i="6"/>
  <c r="N6" i="6"/>
  <c r="O6" i="6"/>
  <c r="P6" i="6"/>
  <c r="Q6" i="6"/>
  <c r="A9" i="6"/>
  <c r="G10" i="6"/>
  <c r="E10" i="6"/>
  <c r="F11" i="6"/>
  <c r="H11" i="6"/>
  <c r="I11" i="6"/>
  <c r="J11" i="6"/>
  <c r="L11" i="6"/>
  <c r="N11" i="6"/>
  <c r="O11" i="6"/>
  <c r="P11" i="6"/>
  <c r="F12" i="6"/>
  <c r="G12" i="6"/>
  <c r="H12" i="6"/>
  <c r="I12" i="6"/>
  <c r="J12" i="6"/>
  <c r="K12" i="6"/>
  <c r="L12" i="6"/>
  <c r="N12" i="6"/>
  <c r="O12" i="6"/>
  <c r="P12" i="6"/>
  <c r="G13" i="6"/>
  <c r="J13" i="6"/>
  <c r="E13" i="6"/>
  <c r="I14" i="6"/>
  <c r="J14" i="6"/>
  <c r="N14" i="6"/>
  <c r="Q14" i="6"/>
  <c r="E15" i="6"/>
  <c r="T15" i="6"/>
  <c r="G16" i="6"/>
  <c r="H16" i="6"/>
  <c r="O16" i="6"/>
  <c r="P16" i="6"/>
  <c r="Q16" i="6"/>
  <c r="H17" i="6"/>
  <c r="E17" i="6"/>
  <c r="N17" i="6"/>
  <c r="N18" i="6"/>
  <c r="E18" i="6"/>
  <c r="P18" i="6"/>
  <c r="E19" i="6"/>
  <c r="R19" i="6"/>
  <c r="M20" i="6"/>
  <c r="E20" i="6"/>
  <c r="F21" i="6"/>
  <c r="G21" i="6"/>
  <c r="H21" i="6"/>
  <c r="E21" i="6"/>
  <c r="I21" i="6"/>
  <c r="J21" i="6"/>
  <c r="K21" i="6"/>
  <c r="L21" i="6"/>
  <c r="M21" i="6"/>
  <c r="N21" i="6"/>
  <c r="O21" i="6"/>
  <c r="P21" i="6"/>
  <c r="N22" i="6"/>
  <c r="E22" i="6"/>
  <c r="O22" i="6"/>
  <c r="E23" i="6"/>
  <c r="E24" i="6"/>
  <c r="S24" i="6"/>
  <c r="F25" i="6"/>
  <c r="G25" i="6"/>
  <c r="H25" i="6"/>
  <c r="I25" i="6"/>
  <c r="J25" i="6"/>
  <c r="K25" i="6"/>
  <c r="L25" i="6"/>
  <c r="M25" i="6"/>
  <c r="N25" i="6"/>
  <c r="O25" i="6"/>
  <c r="P25" i="6"/>
  <c r="Q25" i="6"/>
  <c r="E26" i="6"/>
  <c r="O27" i="6"/>
  <c r="E27" i="6"/>
  <c r="P27" i="6"/>
  <c r="S27" i="6"/>
  <c r="L28" i="6"/>
  <c r="E28" i="6"/>
  <c r="F29" i="6"/>
  <c r="E29" i="6"/>
  <c r="E30" i="6"/>
  <c r="E31" i="6"/>
  <c r="E32" i="6"/>
  <c r="G33" i="6"/>
  <c r="E33" i="6"/>
  <c r="E34" i="6"/>
  <c r="S34" i="6"/>
  <c r="E36" i="6"/>
  <c r="F38" i="6"/>
  <c r="G38" i="6"/>
  <c r="G40" i="6"/>
  <c r="H38" i="6"/>
  <c r="I38" i="6"/>
  <c r="J38" i="6"/>
  <c r="J40" i="6"/>
  <c r="J51" i="6"/>
  <c r="K38" i="6"/>
  <c r="L38" i="6"/>
  <c r="N38" i="6"/>
  <c r="O38" i="6"/>
  <c r="P38" i="6"/>
  <c r="Q38" i="6"/>
  <c r="Q40" i="6"/>
  <c r="I40" i="6"/>
  <c r="K40" i="6"/>
  <c r="K51" i="6"/>
  <c r="M40" i="6"/>
  <c r="M51" i="6"/>
  <c r="P40" i="6"/>
  <c r="N42" i="6"/>
  <c r="K43" i="6"/>
  <c r="M44" i="6"/>
  <c r="D45" i="6"/>
  <c r="E45" i="6"/>
  <c r="F45" i="6"/>
  <c r="G45" i="6"/>
  <c r="H45" i="6"/>
  <c r="I45" i="6"/>
  <c r="P45" i="6"/>
  <c r="Q45" i="6"/>
  <c r="D46" i="6"/>
  <c r="D47" i="6"/>
  <c r="I51" i="6"/>
  <c r="P51" i="6"/>
  <c r="N55" i="6"/>
  <c r="O55" i="6"/>
  <c r="C68" i="6"/>
  <c r="D68" i="6"/>
  <c r="C69" i="6"/>
  <c r="D69" i="6"/>
  <c r="C70" i="6"/>
  <c r="C75" i="6"/>
  <c r="D70" i="6"/>
  <c r="D75" i="6"/>
  <c r="C71" i="6"/>
  <c r="D71" i="6"/>
  <c r="C72" i="6"/>
  <c r="D72" i="6"/>
  <c r="C73" i="6"/>
  <c r="D73" i="6"/>
  <c r="C74" i="6"/>
  <c r="C82" i="6"/>
  <c r="E89" i="6"/>
  <c r="E91" i="6"/>
  <c r="E90" i="6"/>
  <c r="D91" i="6"/>
  <c r="D96" i="6"/>
  <c r="D97" i="6"/>
  <c r="D98" i="6"/>
  <c r="E98" i="6"/>
  <c r="C106" i="6"/>
  <c r="C107" i="6"/>
  <c r="C111" i="6"/>
  <c r="C108" i="6"/>
  <c r="C109" i="6"/>
  <c r="C126" i="6"/>
  <c r="C131" i="6"/>
  <c r="E132" i="6"/>
  <c r="G132" i="6"/>
  <c r="F132" i="6"/>
  <c r="E133" i="6"/>
  <c r="F133" i="6"/>
  <c r="B1" i="8"/>
  <c r="D3" i="8"/>
  <c r="C4" i="8"/>
  <c r="M4" i="8"/>
  <c r="B8" i="8"/>
  <c r="E8" i="8"/>
  <c r="F8" i="8"/>
  <c r="G8" i="8"/>
  <c r="H8" i="8"/>
  <c r="I8" i="8"/>
  <c r="J8" i="8"/>
  <c r="K8" i="8"/>
  <c r="L8" i="8"/>
  <c r="M8" i="8"/>
  <c r="N8" i="8"/>
  <c r="O8" i="8"/>
  <c r="P8" i="8"/>
  <c r="D12" i="8"/>
  <c r="E13" i="8"/>
  <c r="G13" i="8"/>
  <c r="I13" i="8"/>
  <c r="K13" i="8"/>
  <c r="O13" i="8"/>
  <c r="P13" i="8"/>
  <c r="E14" i="8"/>
  <c r="D14" i="8"/>
  <c r="G14" i="8"/>
  <c r="I14" i="8"/>
  <c r="J14" i="8"/>
  <c r="J11" i="8"/>
  <c r="J9" i="8"/>
  <c r="K14" i="8"/>
  <c r="M14" i="8"/>
  <c r="N14" i="8"/>
  <c r="N11" i="8"/>
  <c r="O14" i="8"/>
  <c r="P14" i="8"/>
  <c r="D15" i="8"/>
  <c r="E16" i="8"/>
  <c r="D16" i="8"/>
  <c r="G16" i="8"/>
  <c r="H16" i="8"/>
  <c r="I16" i="8"/>
  <c r="D17" i="8"/>
  <c r="F18" i="8"/>
  <c r="D19" i="8"/>
  <c r="D20" i="8"/>
  <c r="D21" i="8"/>
  <c r="M22" i="8"/>
  <c r="D22" i="8"/>
  <c r="E23" i="8"/>
  <c r="D23" i="8"/>
  <c r="M24" i="8"/>
  <c r="D24" i="8"/>
  <c r="N24" i="8"/>
  <c r="R24" i="8"/>
  <c r="D25" i="8"/>
  <c r="K26" i="8"/>
  <c r="D26" i="8"/>
  <c r="E27" i="8"/>
  <c r="F27" i="8"/>
  <c r="G27" i="8"/>
  <c r="I27" i="8"/>
  <c r="J27" i="8"/>
  <c r="K27" i="8"/>
  <c r="L27" i="8"/>
  <c r="M27" i="8"/>
  <c r="D28" i="8"/>
  <c r="D29" i="8"/>
  <c r="R29" i="8"/>
  <c r="F30" i="8"/>
  <c r="I30" i="8"/>
  <c r="D30" i="8"/>
  <c r="E32" i="8"/>
  <c r="F32" i="8"/>
  <c r="G32" i="8"/>
  <c r="G45" i="8"/>
  <c r="H32" i="8"/>
  <c r="I32" i="8"/>
  <c r="I45" i="8"/>
  <c r="I54" i="8"/>
  <c r="J32" i="8"/>
  <c r="J45" i="8"/>
  <c r="K32" i="8"/>
  <c r="K45" i="8"/>
  <c r="N32" i="8"/>
  <c r="O32" i="8"/>
  <c r="P32" i="8"/>
  <c r="P45" i="8"/>
  <c r="K41" i="8"/>
  <c r="M41" i="8"/>
  <c r="O41" i="8"/>
  <c r="D42" i="8"/>
  <c r="H42" i="8"/>
  <c r="D43" i="8"/>
  <c r="C44" i="8"/>
  <c r="D44" i="8"/>
  <c r="E44" i="8"/>
  <c r="F44" i="8"/>
  <c r="G44" i="8"/>
  <c r="H44" i="8"/>
  <c r="H11" i="8"/>
  <c r="H9" i="8"/>
  <c r="C46" i="8"/>
  <c r="C47" i="8"/>
  <c r="C50" i="8"/>
  <c r="C51" i="8"/>
  <c r="L44" i="8"/>
  <c r="M44" i="8"/>
  <c r="P44" i="8"/>
  <c r="H45" i="8"/>
  <c r="H54" i="8"/>
  <c r="K54" i="8"/>
  <c r="L45" i="8"/>
  <c r="L54" i="8"/>
  <c r="M45" i="8"/>
  <c r="N45" i="8"/>
  <c r="O45" i="8"/>
  <c r="O54" i="8"/>
  <c r="J54" i="8"/>
  <c r="M54" i="8"/>
  <c r="M58" i="8"/>
  <c r="N58" i="8"/>
  <c r="B69" i="8"/>
  <c r="B70" i="8"/>
  <c r="B71" i="8"/>
  <c r="B72" i="8"/>
  <c r="B74" i="8"/>
  <c r="B82" i="8"/>
  <c r="D89" i="8"/>
  <c r="D91" i="8"/>
  <c r="D90" i="8"/>
  <c r="C91" i="8"/>
  <c r="G92" i="8"/>
  <c r="C96" i="8"/>
  <c r="C98" i="8"/>
  <c r="C97" i="8"/>
  <c r="D98" i="8"/>
  <c r="B106" i="8"/>
  <c r="B111" i="8"/>
  <c r="B107" i="8"/>
  <c r="B108" i="8"/>
  <c r="B109" i="8"/>
  <c r="B126" i="8"/>
  <c r="B131" i="8"/>
  <c r="D132" i="8"/>
  <c r="E132" i="8"/>
  <c r="F132" i="8"/>
  <c r="D133" i="8"/>
  <c r="E133" i="8"/>
  <c r="O11" i="19"/>
  <c r="O9" i="19"/>
  <c r="P43" i="19"/>
  <c r="F11" i="19"/>
  <c r="F9" i="19"/>
  <c r="G11" i="19"/>
  <c r="G9" i="19"/>
  <c r="H11" i="19"/>
  <c r="H9" i="19"/>
  <c r="I11" i="19"/>
  <c r="I9" i="19"/>
  <c r="M11" i="19"/>
  <c r="D12" i="19"/>
  <c r="D13" i="19"/>
  <c r="D15" i="19"/>
  <c r="D17" i="19"/>
  <c r="D18" i="19"/>
  <c r="D19" i="19"/>
  <c r="D20" i="19"/>
  <c r="D21" i="19"/>
  <c r="D23" i="19"/>
  <c r="D24" i="19"/>
  <c r="D25" i="19"/>
  <c r="D26" i="19"/>
  <c r="D27" i="19"/>
  <c r="D29" i="19"/>
  <c r="D30" i="19"/>
  <c r="D31" i="19"/>
  <c r="D33" i="19"/>
  <c r="C42" i="19"/>
  <c r="E52" i="19"/>
  <c r="F52" i="19"/>
  <c r="H52" i="19"/>
  <c r="I52" i="19"/>
  <c r="L52" i="19"/>
  <c r="M52" i="19"/>
  <c r="O52" i="19"/>
  <c r="M56" i="19"/>
  <c r="N56" i="19"/>
  <c r="B64" i="19"/>
  <c r="B65" i="19"/>
  <c r="B66" i="19"/>
  <c r="B67" i="19"/>
  <c r="B69" i="19"/>
  <c r="B77" i="19"/>
  <c r="D84" i="19"/>
  <c r="D86" i="19"/>
  <c r="D85" i="19"/>
  <c r="C86" i="19"/>
  <c r="G87" i="19"/>
  <c r="C91" i="19"/>
  <c r="C93" i="19"/>
  <c r="C92" i="19"/>
  <c r="D93" i="19"/>
  <c r="B101" i="19"/>
  <c r="B102" i="19"/>
  <c r="B103" i="19"/>
  <c r="B104" i="19"/>
  <c r="B106" i="19"/>
  <c r="B121" i="19"/>
  <c r="B126" i="19"/>
  <c r="D127" i="19"/>
  <c r="E127" i="19"/>
  <c r="D128" i="19"/>
  <c r="E128" i="19"/>
  <c r="F128" i="19"/>
  <c r="D5" i="2"/>
  <c r="D7" i="2"/>
  <c r="F7" i="2"/>
  <c r="F14" i="2"/>
  <c r="E6" i="2"/>
  <c r="E7" i="2"/>
  <c r="K6" i="2"/>
  <c r="E27" i="2"/>
  <c r="F27" i="2"/>
  <c r="F31" i="2"/>
  <c r="E28" i="2"/>
  <c r="F28" i="2"/>
  <c r="E29" i="2"/>
  <c r="F29" i="2"/>
  <c r="E30" i="2"/>
  <c r="F30" i="2"/>
  <c r="B31" i="2"/>
  <c r="J52" i="19"/>
  <c r="E31" i="2"/>
  <c r="F133" i="8"/>
  <c r="D13" i="8"/>
  <c r="D8" i="8"/>
  <c r="E16" i="6"/>
  <c r="E6" i="6"/>
  <c r="D16" i="22"/>
  <c r="O40" i="6"/>
  <c r="O51" i="6"/>
  <c r="E38" i="6"/>
  <c r="F40" i="6"/>
  <c r="F51" i="6"/>
  <c r="O10" i="1"/>
  <c r="O8" i="1"/>
  <c r="H11" i="22"/>
  <c r="L9" i="22"/>
  <c r="L11" i="8"/>
  <c r="L9" i="8"/>
  <c r="D18" i="8"/>
  <c r="P11" i="8"/>
  <c r="P9" i="8"/>
  <c r="Q9" i="6"/>
  <c r="G10" i="1"/>
  <c r="G8" i="1"/>
  <c r="C12" i="1"/>
  <c r="O11" i="22"/>
  <c r="O9" i="22"/>
  <c r="E51" i="22"/>
  <c r="D42" i="22"/>
  <c r="E8" i="1"/>
  <c r="D32" i="22"/>
  <c r="D51" i="22"/>
  <c r="H51" i="22"/>
  <c r="L11" i="19"/>
  <c r="L9" i="19"/>
  <c r="K11" i="19"/>
  <c r="K9" i="19"/>
  <c r="M9" i="19"/>
  <c r="N52" i="19"/>
  <c r="N9" i="19"/>
  <c r="D16" i="19"/>
  <c r="D28" i="19"/>
  <c r="P11" i="19"/>
  <c r="P9" i="19"/>
  <c r="O9" i="8"/>
  <c r="M7" i="3"/>
  <c r="I9" i="6"/>
  <c r="J45" i="6"/>
  <c r="K45" i="6"/>
  <c r="L45" i="6"/>
  <c r="M45" i="6"/>
  <c r="N45" i="6"/>
  <c r="D42" i="19"/>
  <c r="C44" i="19"/>
  <c r="C45" i="19"/>
  <c r="C48" i="19"/>
  <c r="C49" i="19"/>
  <c r="I9" i="3"/>
  <c r="F45" i="8"/>
  <c r="F54" i="8"/>
  <c r="E45" i="8"/>
  <c r="I11" i="8"/>
  <c r="I9" i="8"/>
  <c r="N9" i="8"/>
  <c r="E25" i="6"/>
  <c r="G9" i="6"/>
  <c r="G7" i="6"/>
  <c r="N9" i="6"/>
  <c r="N7" i="6"/>
  <c r="L10" i="1"/>
  <c r="L8" i="1"/>
  <c r="J9" i="3"/>
  <c r="J7" i="3"/>
  <c r="J9" i="22"/>
  <c r="D43" i="19"/>
  <c r="D52" i="19"/>
  <c r="D32" i="8"/>
  <c r="C28" i="3"/>
  <c r="F127" i="19"/>
  <c r="G54" i="8"/>
  <c r="M11" i="8"/>
  <c r="M9" i="8"/>
  <c r="G11" i="8"/>
  <c r="G9" i="8"/>
  <c r="K11" i="8"/>
  <c r="K9" i="8"/>
  <c r="H40" i="6"/>
  <c r="E40" i="6"/>
  <c r="E51" i="6"/>
  <c r="E14" i="6"/>
  <c r="O9" i="6"/>
  <c r="O7" i="6"/>
  <c r="E11" i="6"/>
  <c r="Q7" i="6"/>
  <c r="I7" i="6"/>
  <c r="C23" i="1"/>
  <c r="H10" i="1"/>
  <c r="I8" i="1"/>
  <c r="G31" i="3"/>
  <c r="C31" i="3"/>
  <c r="M9" i="3"/>
  <c r="K9" i="3"/>
  <c r="K7" i="3"/>
  <c r="N9" i="3"/>
  <c r="N7" i="3"/>
  <c r="H9" i="22"/>
  <c r="M9" i="22"/>
  <c r="D27" i="22"/>
  <c r="D27" i="8"/>
  <c r="O11" i="8"/>
  <c r="G133" i="6"/>
  <c r="P9" i="6"/>
  <c r="P7" i="6"/>
  <c r="G11" i="22"/>
  <c r="G9" i="22"/>
  <c r="F9" i="6"/>
  <c r="L40" i="6"/>
  <c r="L51" i="6"/>
  <c r="E11" i="22"/>
  <c r="E12" i="6"/>
  <c r="B68" i="19"/>
  <c r="B70" i="19"/>
  <c r="B73" i="8"/>
  <c r="B75" i="8"/>
  <c r="N54" i="8"/>
  <c r="N51" i="6"/>
  <c r="N40" i="6"/>
  <c r="G51" i="6"/>
  <c r="C42" i="1"/>
  <c r="F45" i="1"/>
  <c r="K10" i="1"/>
  <c r="K8" i="1"/>
  <c r="C27" i="1"/>
  <c r="C13" i="1"/>
  <c r="H8" i="1"/>
  <c r="C12" i="3"/>
  <c r="D8" i="19"/>
  <c r="E9" i="19"/>
  <c r="M11" i="22"/>
  <c r="D13" i="22"/>
  <c r="B70" i="22"/>
  <c r="B72" i="22"/>
  <c r="D44" i="19"/>
  <c r="D9" i="19"/>
  <c r="D11" i="19"/>
  <c r="F10" i="1"/>
  <c r="C45" i="1"/>
  <c r="C55" i="1"/>
  <c r="M9" i="6"/>
  <c r="M7" i="6"/>
  <c r="L9" i="6"/>
  <c r="L7" i="6"/>
  <c r="H9" i="6"/>
  <c r="H7" i="6"/>
  <c r="D11" i="22"/>
  <c r="E9" i="22"/>
  <c r="D9" i="22"/>
  <c r="F11" i="8"/>
  <c r="F9" i="8"/>
  <c r="J9" i="6"/>
  <c r="J7" i="6"/>
  <c r="H51" i="6"/>
  <c r="K9" i="6"/>
  <c r="K7" i="6"/>
  <c r="D45" i="8"/>
  <c r="D46" i="8"/>
  <c r="G9" i="3"/>
  <c r="E9" i="6"/>
  <c r="E46" i="6"/>
  <c r="D54" i="8"/>
  <c r="D43" i="22"/>
  <c r="C41" i="3"/>
  <c r="E54" i="8"/>
  <c r="F7" i="6"/>
  <c r="E11" i="8"/>
  <c r="E9" i="8"/>
  <c r="D9" i="8"/>
  <c r="D11" i="8"/>
  <c r="E7" i="6"/>
  <c r="F8" i="1"/>
  <c r="D8" i="1"/>
  <c r="C10" i="1"/>
  <c r="G8" i="23"/>
  <c r="G5" i="23"/>
  <c r="J48" i="23"/>
  <c r="C102" i="23"/>
  <c r="P48" i="23"/>
  <c r="E11" i="23"/>
  <c r="L8" i="23"/>
  <c r="L5" i="23"/>
  <c r="E28" i="23"/>
  <c r="E4" i="23"/>
  <c r="I48" i="23"/>
  <c r="F48" i="23"/>
  <c r="D44" i="23"/>
  <c r="D46" i="23"/>
  <c r="M43" i="23"/>
  <c r="M48" i="23"/>
  <c r="M8" i="23"/>
  <c r="M5" i="23"/>
  <c r="O48" i="23"/>
  <c r="E41" i="23"/>
  <c r="M50" i="29"/>
  <c r="E48" i="23"/>
  <c r="E44" i="23"/>
  <c r="K48" i="23"/>
  <c r="P8" i="23"/>
  <c r="P5" i="23"/>
  <c r="E5" i="23"/>
  <c r="E8" i="23"/>
  <c r="G45" i="29"/>
  <c r="G50" i="29"/>
  <c r="K8" i="29"/>
  <c r="K5" i="29"/>
  <c r="J8" i="29"/>
  <c r="J5" i="29"/>
  <c r="I50" i="29"/>
  <c r="H5" i="29"/>
  <c r="M8" i="29"/>
  <c r="M5" i="29"/>
  <c r="G3" i="29"/>
  <c r="H3" i="29"/>
  <c r="I3" i="29"/>
  <c r="J3" i="29"/>
  <c r="K3" i="29"/>
  <c r="L3" i="29"/>
  <c r="M3" i="29"/>
  <c r="N3" i="29"/>
  <c r="O3" i="29"/>
  <c r="O5" i="29"/>
  <c r="P8" i="29"/>
  <c r="P5" i="29"/>
  <c r="P6" i="29"/>
  <c r="P3" i="29"/>
  <c r="Q8" i="29"/>
  <c r="Q5" i="29"/>
  <c r="C104" i="29"/>
  <c r="C68" i="29"/>
  <c r="Q3" i="29"/>
  <c r="Q6" i="29"/>
  <c r="F46" i="29"/>
  <c r="F50" i="29"/>
  <c r="R8" i="29"/>
  <c r="R5" i="29"/>
  <c r="F8" i="29"/>
  <c r="R6" i="29"/>
  <c r="F5" i="29"/>
  <c r="R3" i="29"/>
  <c r="Q5" i="33" l="1"/>
  <c r="E47" i="33"/>
  <c r="F41" i="33"/>
  <c r="N8" i="33"/>
  <c r="N5" i="33" s="1"/>
  <c r="R8" i="33"/>
  <c r="R5" i="33" s="1"/>
  <c r="I8" i="33"/>
  <c r="I5" i="33" s="1"/>
  <c r="P8" i="33"/>
  <c r="P5" i="33" s="1"/>
  <c r="J5" i="33"/>
  <c r="L8" i="33"/>
  <c r="L5" i="33" s="1"/>
  <c r="O5" i="33"/>
  <c r="H5" i="33"/>
  <c r="K5" i="33"/>
  <c r="F9" i="33"/>
  <c r="F26" i="33"/>
  <c r="M8" i="33"/>
  <c r="M5" i="33" s="1"/>
  <c r="R6" i="33" l="1"/>
  <c r="Q6" i="33"/>
  <c r="J6" i="33"/>
  <c r="P6" i="33"/>
  <c r="I6" i="33"/>
  <c r="N6" i="33"/>
  <c r="L6" i="33"/>
  <c r="O6" i="33"/>
  <c r="K6" i="33"/>
  <c r="M6" i="33"/>
  <c r="F44" i="33"/>
  <c r="F8" i="33"/>
  <c r="G8" i="33"/>
  <c r="G5" i="33" s="1"/>
  <c r="F45" i="33" l="1"/>
  <c r="H6" i="33"/>
  <c r="F5" i="33"/>
  <c r="G3" i="33"/>
  <c r="H3" i="33" s="1"/>
  <c r="I3" i="33" s="1"/>
  <c r="J3" i="33" s="1"/>
  <c r="K3" i="33" s="1"/>
  <c r="L3" i="33" s="1"/>
  <c r="M3" i="33" s="1"/>
  <c r="N3" i="33" s="1"/>
  <c r="O3" i="33" s="1"/>
  <c r="P3" i="33" s="1"/>
  <c r="Q3" i="33" s="1"/>
  <c r="R3" i="33" s="1"/>
</calcChain>
</file>

<file path=xl/comments1.xml><?xml version="1.0" encoding="utf-8"?>
<comments xmlns="http://schemas.openxmlformats.org/spreadsheetml/2006/main">
  <authors>
    <author>Lövdinger Per</author>
  </authors>
  <commentList>
    <comment ref="P26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däck passat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liseberg</t>
        </r>
      </text>
    </comment>
    <comment ref="R42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skatt
deposition</t>
        </r>
      </text>
    </comment>
    <comment ref="M45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risk2 </t>
        </r>
      </text>
    </comment>
    <comment ref="P45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skatt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2000 extra C-50
</t>
        </r>
      </text>
    </comment>
  </commentList>
</comments>
</file>

<file path=xl/comments2.xml><?xml version="1.0" encoding="utf-8"?>
<comments xmlns="http://schemas.openxmlformats.org/spreadsheetml/2006/main">
  <authors>
    <author>Lövdinger Per</author>
  </authors>
  <commentList>
    <comment ref="F13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fläkt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kyl - frys</t>
        </r>
      </text>
    </comment>
  </commentList>
</comments>
</file>

<file path=xl/comments3.xml><?xml version="1.0" encoding="utf-8"?>
<comments xmlns="http://schemas.openxmlformats.org/spreadsheetml/2006/main">
  <authors>
    <author>Lövdinger Per</author>
  </authors>
  <commentList>
    <comment ref="L1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Dag då nya villkor ska väljas för ditt lån. Vi kommer att skicka hem ett brev till dig om det i god tid. Om förlängningsdagen inträffar på en helg förlängs ditt lån första vardagen därpå, och räntan blir den som gäller den vardagen.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Den dag SEB kan justera räntesatsen för
3-månadersränta.</t>
        </r>
      </text>
    </comment>
  </commentList>
</comments>
</file>

<file path=xl/comments4.xml><?xml version="1.0" encoding="utf-8"?>
<comments xmlns="http://schemas.openxmlformats.org/spreadsheetml/2006/main">
  <authors>
    <author>Lövdinger Per</author>
  </authors>
  <commentList>
    <comment ref="B18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2000 extra C-50
</t>
        </r>
      </text>
    </comment>
    <comment ref="H41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1000 fiona
2599 tält</t>
        </r>
      </text>
    </comment>
  </commentList>
</comments>
</file>

<file path=xl/comments5.xml><?xml version="1.0" encoding="utf-8"?>
<comments xmlns="http://schemas.openxmlformats.org/spreadsheetml/2006/main">
  <authors>
    <author>Lövdinger Per</author>
  </authors>
  <commentList>
    <comment ref="B18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2000 extra C-50
</t>
        </r>
      </text>
    </comment>
    <comment ref="I42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gymnasieavgift</t>
        </r>
      </text>
    </comment>
    <comment ref="L42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2000 lån E
2000 F födelsedag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Fiona 400 + 1500</t>
        </r>
      </text>
    </comment>
    <comment ref="P42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2145 revy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1500 F Buss</t>
        </r>
      </text>
    </comment>
    <comment ref="R42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emily skidor</t>
        </r>
      </text>
    </comment>
  </commentList>
</comments>
</file>

<file path=xl/comments6.xml><?xml version="1.0" encoding="utf-8"?>
<comments xmlns="http://schemas.openxmlformats.org/spreadsheetml/2006/main">
  <authors>
    <author>Lövdinger Per</author>
  </authors>
  <commentList>
    <comment ref="B18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2000 extra C-50
</t>
        </r>
      </text>
    </comment>
    <comment ref="Q31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665 för emily</t>
        </r>
      </text>
    </comment>
    <comment ref="Q41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C tandläkare</t>
        </r>
      </text>
    </comment>
  </commentList>
</comments>
</file>

<file path=xl/sharedStrings.xml><?xml version="1.0" encoding="utf-8"?>
<sst xmlns="http://schemas.openxmlformats.org/spreadsheetml/2006/main" count="1938" uniqueCount="328">
  <si>
    <t>Type</t>
  </si>
  <si>
    <t>Budget</t>
  </si>
  <si>
    <t>Sum</t>
  </si>
  <si>
    <t>Övrigt</t>
  </si>
  <si>
    <t>Emily konst kurs</t>
  </si>
  <si>
    <t xml:space="preserve">Avg </t>
  </si>
  <si>
    <t>Jan</t>
  </si>
  <si>
    <t>Feb</t>
  </si>
  <si>
    <t>Mars</t>
  </si>
  <si>
    <t>Apr</t>
  </si>
  <si>
    <t>Maj</t>
  </si>
  <si>
    <t>Jun</t>
  </si>
  <si>
    <t>Jul</t>
  </si>
  <si>
    <t>Aug</t>
  </si>
  <si>
    <t>Sept</t>
  </si>
  <si>
    <t>okt</t>
  </si>
  <si>
    <t>Nov</t>
  </si>
  <si>
    <t>Dec</t>
  </si>
  <si>
    <t>Ant månader</t>
  </si>
  <si>
    <t>Bil_Bensin</t>
  </si>
  <si>
    <t>H_Telia Fast</t>
  </si>
  <si>
    <t>H_El</t>
  </si>
  <si>
    <t>H_TV</t>
  </si>
  <si>
    <t>H_Hus försäkring</t>
  </si>
  <si>
    <t>Ö_Barnomsorg</t>
  </si>
  <si>
    <t>Ö_Livförsäkring</t>
  </si>
  <si>
    <t>Summa</t>
  </si>
  <si>
    <t>Mat</t>
  </si>
  <si>
    <t>H_Lån</t>
  </si>
  <si>
    <t>Total netto</t>
  </si>
  <si>
    <t>Ö_Mastercard (exkl. mat )</t>
  </si>
  <si>
    <t>Bil_Skatt</t>
  </si>
  <si>
    <t>Diff</t>
  </si>
  <si>
    <t>H_Parabol</t>
  </si>
  <si>
    <t xml:space="preserve">Ö_Akassa </t>
  </si>
  <si>
    <t>Bil_försäkring</t>
  </si>
  <si>
    <t>H_sopor_vatten</t>
  </si>
  <si>
    <t xml:space="preserve">Fiona &amp; Emily Ridning </t>
  </si>
  <si>
    <t>Barn Tidningar</t>
  </si>
  <si>
    <t>Övrig kredit</t>
  </si>
  <si>
    <t>Summa budgeterat</t>
  </si>
  <si>
    <t>Inkomster</t>
  </si>
  <si>
    <t>Per</t>
  </si>
  <si>
    <t>Catherine</t>
  </si>
  <si>
    <t>Totalt</t>
  </si>
  <si>
    <t>Brutto</t>
  </si>
  <si>
    <t xml:space="preserve"> </t>
  </si>
  <si>
    <t>Barnbidrag</t>
  </si>
  <si>
    <t>Summa inkomst</t>
  </si>
  <si>
    <t>Summa budgeterad utgift</t>
  </si>
  <si>
    <t>Ö_dagsTidning</t>
  </si>
  <si>
    <t>El läsning</t>
  </si>
  <si>
    <t>Ö_pension</t>
  </si>
  <si>
    <t>va</t>
  </si>
  <si>
    <t>Bil Service</t>
  </si>
  <si>
    <t>Kapital</t>
  </si>
  <si>
    <t>Emily Elorgel</t>
  </si>
  <si>
    <t>Fiona hyra häst</t>
  </si>
  <si>
    <t>div Foto</t>
  </si>
  <si>
    <t>Skidsemester</t>
  </si>
  <si>
    <t>H_Hus anticimex</t>
  </si>
  <si>
    <t>Ö-katt-försäkring</t>
  </si>
  <si>
    <t xml:space="preserve">Till buffert </t>
  </si>
  <si>
    <t>Till Semester</t>
  </si>
  <si>
    <t>Kvar till Övriga räkningar (kläder,hushåll,trädgård,apotek m.m)</t>
  </si>
  <si>
    <t>G_Stallhyra</t>
  </si>
  <si>
    <t>G_Hage</t>
  </si>
  <si>
    <t>G_Foder</t>
  </si>
  <si>
    <t>G_Spån</t>
  </si>
  <si>
    <t>G_Hovslagare</t>
  </si>
  <si>
    <t>H_Mobil</t>
  </si>
  <si>
    <t>G_Häst-Försäkring</t>
  </si>
  <si>
    <t>G_Ryttar_försäkring</t>
  </si>
  <si>
    <t>G_Privat_lektioner</t>
  </si>
  <si>
    <t>G_Hö</t>
  </si>
  <si>
    <t>G_Veterinär</t>
  </si>
  <si>
    <t>Foto</t>
  </si>
  <si>
    <t>Tandläkare</t>
  </si>
  <si>
    <t>H_Bredband</t>
  </si>
  <si>
    <t>Kapital (spar)</t>
  </si>
  <si>
    <t>Mur</t>
  </si>
  <si>
    <t>Semester</t>
  </si>
  <si>
    <t>Balans</t>
  </si>
  <si>
    <t>Buffert</t>
  </si>
  <si>
    <t xml:space="preserve">Balans </t>
  </si>
  <si>
    <t>C</t>
  </si>
  <si>
    <t>IE</t>
  </si>
  <si>
    <t>Till (allt Semester)</t>
  </si>
  <si>
    <t>Möbler</t>
  </si>
  <si>
    <t>H_Cate_Mobil</t>
  </si>
  <si>
    <t>Akassa 2006 Per</t>
  </si>
  <si>
    <t>Akassa 2006 C</t>
  </si>
  <si>
    <t>år</t>
  </si>
  <si>
    <t>Mån</t>
  </si>
  <si>
    <t>Total</t>
  </si>
  <si>
    <t>Akassa 2007 Per</t>
  </si>
  <si>
    <t>Akassa 2007 C</t>
  </si>
  <si>
    <t>Fickpeng</t>
  </si>
  <si>
    <t>GT</t>
  </si>
  <si>
    <t>Bilkostnad idag</t>
  </si>
  <si>
    <t>Får för Renault</t>
  </si>
  <si>
    <t>Köp för 100000</t>
  </si>
  <si>
    <t>Lån</t>
  </si>
  <si>
    <t>Ränta</t>
  </si>
  <si>
    <t>Amortera år</t>
  </si>
  <si>
    <t>Amort</t>
  </si>
  <si>
    <t>Köp för 150000</t>
  </si>
  <si>
    <t>Tjänar in</t>
  </si>
  <si>
    <t>Bil rep.</t>
  </si>
  <si>
    <t>Totalt Kreditkort</t>
  </si>
  <si>
    <t>På banken balans</t>
  </si>
  <si>
    <t>Spar</t>
  </si>
  <si>
    <t>buffert (10000-20000)</t>
  </si>
  <si>
    <t>Hus</t>
  </si>
  <si>
    <t>Bil</t>
  </si>
  <si>
    <t>Häst</t>
  </si>
  <si>
    <t>Försäkr</t>
  </si>
  <si>
    <t>Övr-kredit</t>
  </si>
  <si>
    <t>BarnTidning</t>
  </si>
  <si>
    <t xml:space="preserve">Summa    </t>
  </si>
  <si>
    <t>Försäkring</t>
  </si>
  <si>
    <t>Ö_kredit (exkl. mat )</t>
  </si>
  <si>
    <t>Ö_kredit</t>
  </si>
  <si>
    <t>Utan Övrig kredit</t>
  </si>
  <si>
    <t>Sälja en Bil</t>
  </si>
  <si>
    <t xml:space="preserve">Sälja häst tjänar vi </t>
  </si>
  <si>
    <t>Netto inkomst</t>
  </si>
  <si>
    <t>FickPeng-spar</t>
  </si>
  <si>
    <t>Mål sparande 30000 på 10 månader</t>
  </si>
  <si>
    <t>Max Total utgift</t>
  </si>
  <si>
    <t>Mål</t>
  </si>
  <si>
    <t>Nu</t>
  </si>
  <si>
    <t>Ställer av och åker buss</t>
  </si>
  <si>
    <t>Catherine bil</t>
  </si>
  <si>
    <t>må</t>
  </si>
  <si>
    <t>ti</t>
  </si>
  <si>
    <t>on</t>
  </si>
  <si>
    <t>to</t>
  </si>
  <si>
    <t>fr</t>
  </si>
  <si>
    <t>Per bil</t>
  </si>
  <si>
    <t>ja</t>
  </si>
  <si>
    <t>Minskad bensin</t>
  </si>
  <si>
    <t>Försäkr.</t>
  </si>
  <si>
    <t>Skatt</t>
  </si>
  <si>
    <t>Månadskort</t>
  </si>
  <si>
    <t>Service</t>
  </si>
  <si>
    <t>Total kan vi spara</t>
  </si>
  <si>
    <t>Akassa</t>
  </si>
  <si>
    <t>Matkostnad</t>
  </si>
  <si>
    <t>nej</t>
  </si>
  <si>
    <t>Spara till resa</t>
  </si>
  <si>
    <t>93-konto Buffert skall vara</t>
  </si>
  <si>
    <t>Löneutveckling</t>
  </si>
  <si>
    <t>Per Lön</t>
  </si>
  <si>
    <t>Per ökning</t>
  </si>
  <si>
    <t>C Lön</t>
  </si>
  <si>
    <t>C ökning</t>
  </si>
  <si>
    <t>Per  Jäkning 2200</t>
  </si>
  <si>
    <t>Avgifter &amp; försäkring</t>
  </si>
  <si>
    <t xml:space="preserve">Skatt </t>
  </si>
  <si>
    <t>Kvar</t>
  </si>
  <si>
    <t>Fiona</t>
  </si>
  <si>
    <t>Emily</t>
  </si>
  <si>
    <t>Dansskola</t>
  </si>
  <si>
    <t>Ridlektioner Råda</t>
  </si>
  <si>
    <t>Friskis</t>
  </si>
  <si>
    <t>buffert (10000-20000) 60</t>
  </si>
  <si>
    <t>Spar 93</t>
  </si>
  <si>
    <t xml:space="preserve">H_El **** </t>
  </si>
  <si>
    <t>H_Tele Fast</t>
  </si>
  <si>
    <t>H_Boxer</t>
  </si>
  <si>
    <t>Fritid</t>
  </si>
  <si>
    <t>Medryttare Fiona</t>
  </si>
  <si>
    <t>kvar efter 5000</t>
  </si>
  <si>
    <t>Övriga utgifter</t>
  </si>
  <si>
    <t>Summa nettoinkomster</t>
  </si>
  <si>
    <t>Netto efter budgeterat</t>
  </si>
  <si>
    <t>skatt + p.tillstånd</t>
  </si>
  <si>
    <t>Barnbidrag+studiebidrag</t>
  </si>
  <si>
    <t>***8500</t>
  </si>
  <si>
    <t>Balans skall vara</t>
  </si>
  <si>
    <t>Lån 1 - 95</t>
  </si>
  <si>
    <t>Lån 3 - 15</t>
  </si>
  <si>
    <t>Räntesats</t>
  </si>
  <si>
    <t>Skuld</t>
  </si>
  <si>
    <t>Lån 2 - 22 (rörligt)</t>
  </si>
  <si>
    <t>Extra Lån</t>
  </si>
  <si>
    <t>old</t>
  </si>
  <si>
    <t>new</t>
  </si>
  <si>
    <t>Ö-djur-försäkring</t>
  </si>
  <si>
    <t>Enya</t>
  </si>
  <si>
    <t>H_Canaldigital</t>
  </si>
  <si>
    <t>Okt</t>
  </si>
  <si>
    <t>H_Hus larm</t>
  </si>
  <si>
    <t>TV-Mobil</t>
  </si>
  <si>
    <t>El</t>
  </si>
  <si>
    <t>sopor_vatten</t>
  </si>
  <si>
    <t>Hus försäkring</t>
  </si>
  <si>
    <t>Hus anticimex</t>
  </si>
  <si>
    <t>Hus larm</t>
  </si>
  <si>
    <t>Tele Fast</t>
  </si>
  <si>
    <t>Bredband</t>
  </si>
  <si>
    <t>Digital_TV</t>
  </si>
  <si>
    <t>TV_licens</t>
  </si>
  <si>
    <t>Mobil_Catherine</t>
  </si>
  <si>
    <t>Mobil_Emily</t>
  </si>
  <si>
    <t>Bensin</t>
  </si>
  <si>
    <t>Fickpeng (Fiona , Emily)</t>
  </si>
  <si>
    <t>Sälja hus</t>
  </si>
  <si>
    <t>Hus köpt för</t>
  </si>
  <si>
    <t>Hus sålt för</t>
  </si>
  <si>
    <t xml:space="preserve">Vinst </t>
  </si>
  <si>
    <t>mäklare</t>
  </si>
  <si>
    <t xml:space="preserve">Beskattad vinst </t>
  </si>
  <si>
    <t>vinst skatt 22 %</t>
  </si>
  <si>
    <t>hus försäljning - lån - vinst skatt =</t>
  </si>
  <si>
    <t>då kan vi köpa med 1 miljon i lån</t>
  </si>
  <si>
    <t>Tidningar,ill vet.</t>
  </si>
  <si>
    <t>Bil trängsel</t>
  </si>
  <si>
    <t>Spotify-Netflix</t>
  </si>
  <si>
    <t>Buss</t>
  </si>
  <si>
    <t>Transport</t>
  </si>
  <si>
    <t>Resor</t>
  </si>
  <si>
    <t>Ö_kredit (exkl. Mat,buss,resor )</t>
  </si>
  <si>
    <t>Summa budgeterat utgifter</t>
  </si>
  <si>
    <t>Summa budgeterat intäkter</t>
  </si>
  <si>
    <t>Resultat</t>
  </si>
  <si>
    <t>Lån ränta</t>
  </si>
  <si>
    <t>Lån amort</t>
  </si>
  <si>
    <t xml:space="preserve">93-spar-hus (hus stora utgifter,bil stora) </t>
  </si>
  <si>
    <t>60-Resor m.m</t>
  </si>
  <si>
    <t>Villaägarna</t>
  </si>
  <si>
    <t>Bo</t>
  </si>
  <si>
    <t>Spotify-Netflix-viaplay</t>
  </si>
  <si>
    <t>amort</t>
  </si>
  <si>
    <t>Fickpeng m.m Emily</t>
  </si>
  <si>
    <t>Fickpeng m.m Fiona</t>
  </si>
  <si>
    <t>villa ägar: moderna försäkringar</t>
  </si>
  <si>
    <t>Sector Alarm</t>
  </si>
  <si>
    <t>Villa ägarna</t>
  </si>
  <si>
    <t>Telia</t>
  </si>
  <si>
    <t>Staten</t>
  </si>
  <si>
    <t>Bredband+Telefon</t>
  </si>
  <si>
    <t>Lån 1</t>
  </si>
  <si>
    <t>Lån 2</t>
  </si>
  <si>
    <t>Lån 3</t>
  </si>
  <si>
    <t>Riva kök</t>
  </si>
  <si>
    <t>Golv material</t>
  </si>
  <si>
    <t>Golv Arbete</t>
  </si>
  <si>
    <t>kakel material</t>
  </si>
  <si>
    <t>kakel arbete</t>
  </si>
  <si>
    <t>Vitvaror</t>
  </si>
  <si>
    <t>Kök  material</t>
  </si>
  <si>
    <t>Kök montering</t>
  </si>
  <si>
    <t xml:space="preserve">ugn </t>
  </si>
  <si>
    <t>microugn</t>
  </si>
  <si>
    <t>spis häll</t>
  </si>
  <si>
    <t>fläkt</t>
  </si>
  <si>
    <t>kyl</t>
  </si>
  <si>
    <t>frys</t>
  </si>
  <si>
    <t>Lån kök</t>
  </si>
  <si>
    <t>Lägenhet</t>
  </si>
  <si>
    <t>LGH</t>
  </si>
  <si>
    <t>Hyra</t>
  </si>
  <si>
    <t>Lgh "hyra1"</t>
  </si>
  <si>
    <t>Lgh "hyra2"</t>
  </si>
  <si>
    <t>hus</t>
  </si>
  <si>
    <t>total</t>
  </si>
  <si>
    <t>lägenhet</t>
  </si>
  <si>
    <t>Diff excl amortering</t>
  </si>
  <si>
    <t>Hanna (inflyttad från 2016-03)</t>
  </si>
  <si>
    <t>Låne nr</t>
  </si>
  <si>
    <t>Typ</t>
  </si>
  <si>
    <t>Års ränta</t>
  </si>
  <si>
    <t>Månads</t>
  </si>
  <si>
    <t>Amortering</t>
  </si>
  <si>
    <t>Netto Ränta</t>
  </si>
  <si>
    <t>rabatt</t>
  </si>
  <si>
    <t>SEB</t>
  </si>
  <si>
    <t>Bolån - bottenlån med 3-månaders ränta</t>
  </si>
  <si>
    <t>Summa lån hus</t>
  </si>
  <si>
    <t>Summa hus</t>
  </si>
  <si>
    <t>Bättre bolån</t>
  </si>
  <si>
    <t>Summa lån lägenhet</t>
  </si>
  <si>
    <t>Summa Totalt</t>
  </si>
  <si>
    <t>Rörligt 3 mån</t>
  </si>
  <si>
    <t>SEB amortering: man kan ringa in när som helst och ändra</t>
  </si>
  <si>
    <t>inte snabbare än 10 år</t>
  </si>
  <si>
    <t xml:space="preserve">amortera minst 2 % på det över 70 % </t>
  </si>
  <si>
    <t xml:space="preserve">amortera minst 1 % på det över 50-70 % </t>
  </si>
  <si>
    <t>hus värde</t>
  </si>
  <si>
    <t>Värde</t>
  </si>
  <si>
    <t>Belåningsgrad</t>
  </si>
  <si>
    <t>Belåningsgrad hus</t>
  </si>
  <si>
    <t>Belåningsgrad lägenhet</t>
  </si>
  <si>
    <t>datum för ränte-justering</t>
  </si>
  <si>
    <t>förlängningsdag</t>
  </si>
  <si>
    <t>höginkomst,trygga jobb,låg belåning</t>
  </si>
  <si>
    <t>list ränta</t>
  </si>
  <si>
    <t>Rabatt:Sikta på -0,5-0,6</t>
  </si>
  <si>
    <t>Diff Lgh</t>
  </si>
  <si>
    <t>Total utgift lägenhet</t>
  </si>
  <si>
    <t>när vi säljer tar vi ut amortering + investeringar som kostnad</t>
  </si>
  <si>
    <t>Drift</t>
  </si>
  <si>
    <t>Summa Drift</t>
  </si>
  <si>
    <t>Summa Transport</t>
  </si>
  <si>
    <t>Summa Lägenhet</t>
  </si>
  <si>
    <t>Ö-kredit</t>
  </si>
  <si>
    <t>Emily-tasspass</t>
  </si>
  <si>
    <t>skatt återbetalning</t>
  </si>
  <si>
    <t>hyror lägenhet</t>
  </si>
  <si>
    <t>Emily ej Hyra</t>
  </si>
  <si>
    <t>Fiona Swish</t>
  </si>
  <si>
    <t xml:space="preserve">Emily Swish </t>
  </si>
  <si>
    <t>AgiliTeam</t>
  </si>
  <si>
    <t>akassa</t>
  </si>
  <si>
    <t>hyra deposit</t>
  </si>
  <si>
    <t>tv</t>
  </si>
  <si>
    <t>bilförsäkring</t>
  </si>
  <si>
    <t>lgh lån</t>
  </si>
  <si>
    <t>el</t>
  </si>
  <si>
    <t>vatten</t>
  </si>
  <si>
    <t>agiliteam</t>
  </si>
  <si>
    <t>lgh hyra</t>
  </si>
  <si>
    <t>tasspass1 50594</t>
  </si>
  <si>
    <t>tasspass2 50601</t>
  </si>
  <si>
    <t>tasspass3 xxxx</t>
  </si>
  <si>
    <t>Fiona Passat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</si>
</sst>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-* #,##0\ [$kr-41D]_-;\-* #,##0\ [$kr-41D]_-;_-* &quot;-&quot;\ [$kr-41D]_-;_-@_-"/>
    <numFmt numFmtId="166" formatCode="_-* #,##0\ [$kr-41D]_-;\-* #,##0\ [$kr-41D]_-;_-* &quot;-&quot;??\ [$kr-41D]_-;_-@_-"/>
    <numFmt numFmtId="167" formatCode="#,##0\ &quot;kr&quot;"/>
  </numFmts>
  <fonts count="37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0"/>
      <color indexed="17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50"/>
      <name val="Arial"/>
      <family val="2"/>
    </font>
    <font>
      <sz val="10"/>
      <color indexed="46"/>
      <name val="Arial"/>
      <family val="2"/>
    </font>
    <font>
      <sz val="10"/>
      <color indexed="19"/>
      <name val="Arial"/>
      <family val="2"/>
    </font>
    <font>
      <b/>
      <sz val="10"/>
      <color indexed="12"/>
      <name val="Arial"/>
      <family val="2"/>
    </font>
    <font>
      <sz val="10"/>
      <color indexed="18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sz val="10"/>
      <color indexed="17"/>
      <name val="Arial"/>
      <family val="2"/>
    </font>
    <font>
      <sz val="10"/>
      <color indexed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sz val="10"/>
      <color rgb="FF92D050"/>
      <name val="Arial"/>
      <family val="2"/>
    </font>
    <font>
      <sz val="11"/>
      <color rgb="FF010101"/>
      <name val="Trebuchet MS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010101"/>
      <name val="Arial"/>
      <family val="2"/>
    </font>
    <font>
      <sz val="10"/>
      <color rgb="FFFFC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3" fillId="0" borderId="0" applyFont="0" applyFill="0" applyBorder="0" applyAlignment="0" applyProtection="0"/>
    <xf numFmtId="0" fontId="1" fillId="0" borderId="0"/>
    <xf numFmtId="9" fontId="33" fillId="0" borderId="0" applyFont="0" applyFill="0" applyBorder="0" applyAlignment="0" applyProtection="0"/>
  </cellStyleXfs>
  <cellXfs count="95">
    <xf numFmtId="0" fontId="0" fillId="0" borderId="0" xfId="0"/>
    <xf numFmtId="14" fontId="4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14" fontId="5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/>
    <xf numFmtId="0" fontId="11" fillId="0" borderId="0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/>
    <xf numFmtId="0" fontId="14" fillId="0" borderId="0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/>
    <xf numFmtId="14" fontId="6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alignment horizontal="center"/>
    </xf>
    <xf numFmtId="16" fontId="4" fillId="0" borderId="0" xfId="0" applyNumberFormat="1" applyFont="1" applyFill="1" applyBorder="1" applyAlignment="1" applyProtection="1"/>
    <xf numFmtId="0" fontId="16" fillId="0" borderId="0" xfId="0" applyNumberFormat="1" applyFont="1" applyFill="1" applyBorder="1" applyAlignment="1" applyProtection="1"/>
    <xf numFmtId="16" fontId="9" fillId="0" borderId="0" xfId="0" applyNumberFormat="1" applyFont="1" applyFill="1" applyBorder="1" applyAlignment="1" applyProtection="1"/>
    <xf numFmtId="0" fontId="17" fillId="0" borderId="0" xfId="0" applyNumberFormat="1" applyFont="1" applyFill="1" applyBorder="1" applyAlignment="1" applyProtection="1"/>
    <xf numFmtId="0" fontId="18" fillId="0" borderId="0" xfId="0" applyNumberFormat="1" applyFont="1" applyFill="1" applyBorder="1" applyAlignment="1" applyProtection="1"/>
    <xf numFmtId="0" fontId="19" fillId="0" borderId="0" xfId="0" applyNumberFormat="1" applyFont="1" applyFill="1" applyBorder="1" applyAlignment="1" applyProtection="1"/>
    <xf numFmtId="17" fontId="4" fillId="0" borderId="0" xfId="0" applyNumberFormat="1" applyFont="1" applyFill="1" applyBorder="1" applyAlignment="1" applyProtection="1"/>
    <xf numFmtId="0" fontId="20" fillId="0" borderId="0" xfId="0" applyNumberFormat="1" applyFont="1" applyFill="1" applyBorder="1" applyAlignment="1" applyProtection="1"/>
    <xf numFmtId="0" fontId="21" fillId="0" borderId="0" xfId="0" applyNumberFormat="1" applyFont="1" applyFill="1" applyBorder="1" applyAlignment="1" applyProtection="1"/>
    <xf numFmtId="0" fontId="21" fillId="0" borderId="0" xfId="0" applyFont="1"/>
    <xf numFmtId="0" fontId="22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left"/>
    </xf>
    <xf numFmtId="0" fontId="17" fillId="0" borderId="0" xfId="0" applyNumberFormat="1" applyFont="1" applyFill="1" applyBorder="1" applyAlignment="1" applyProtection="1">
      <alignment horizontal="left"/>
    </xf>
    <xf numFmtId="0" fontId="16" fillId="0" borderId="0" xfId="0" applyNumberFormat="1" applyFont="1" applyFill="1" applyBorder="1" applyAlignment="1" applyProtection="1">
      <alignment horizontal="left"/>
    </xf>
    <xf numFmtId="0" fontId="10" fillId="0" borderId="0" xfId="0" applyNumberFormat="1" applyFont="1" applyFill="1" applyBorder="1" applyAlignment="1" applyProtection="1">
      <alignment horizontal="left"/>
    </xf>
    <xf numFmtId="0" fontId="12" fillId="0" borderId="0" xfId="0" applyNumberFormat="1" applyFont="1" applyFill="1" applyBorder="1" applyAlignment="1" applyProtection="1">
      <alignment horizontal="left"/>
    </xf>
    <xf numFmtId="0" fontId="4" fillId="2" borderId="0" xfId="0" applyNumberFormat="1" applyFont="1" applyFill="1" applyBorder="1" applyAlignment="1" applyProtection="1"/>
    <xf numFmtId="0" fontId="23" fillId="0" borderId="0" xfId="0" applyNumberFormat="1" applyFont="1" applyFill="1" applyBorder="1" applyAlignment="1" applyProtection="1"/>
    <xf numFmtId="0" fontId="25" fillId="0" borderId="0" xfId="0" applyNumberFormat="1" applyFont="1" applyFill="1" applyBorder="1" applyAlignment="1" applyProtection="1"/>
    <xf numFmtId="0" fontId="26" fillId="0" borderId="0" xfId="0" applyNumberFormat="1" applyFont="1" applyFill="1" applyBorder="1" applyAlignment="1" applyProtection="1"/>
    <xf numFmtId="0" fontId="23" fillId="2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17" fontId="3" fillId="0" borderId="0" xfId="0" applyNumberFormat="1" applyFont="1" applyFill="1" applyBorder="1" applyAlignment="1" applyProtection="1"/>
    <xf numFmtId="16" fontId="3" fillId="0" borderId="0" xfId="0" applyNumberFormat="1" applyFont="1" applyFill="1" applyBorder="1" applyAlignment="1" applyProtection="1"/>
    <xf numFmtId="14" fontId="3" fillId="0" borderId="0" xfId="0" applyNumberFormat="1" applyFont="1" applyFill="1" applyBorder="1" applyAlignment="1" applyProtection="1"/>
    <xf numFmtId="0" fontId="3" fillId="2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4" fontId="2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0" fontId="21" fillId="3" borderId="0" xfId="0" applyNumberFormat="1" applyFont="1" applyFill="1" applyBorder="1" applyAlignment="1" applyProtection="1"/>
    <xf numFmtId="0" fontId="6" fillId="4" borderId="0" xfId="0" applyNumberFormat="1" applyFont="1" applyFill="1" applyBorder="1" applyAlignment="1" applyProtection="1"/>
    <xf numFmtId="0" fontId="4" fillId="4" borderId="0" xfId="0" applyNumberFormat="1" applyFont="1" applyFill="1" applyBorder="1" applyAlignment="1" applyProtection="1"/>
    <xf numFmtId="0" fontId="5" fillId="4" borderId="0" xfId="0" applyNumberFormat="1" applyFont="1" applyFill="1" applyBorder="1" applyAlignment="1" applyProtection="1"/>
    <xf numFmtId="0" fontId="4" fillId="5" borderId="0" xfId="0" applyNumberFormat="1" applyFont="1" applyFill="1" applyBorder="1" applyAlignment="1" applyProtection="1"/>
    <xf numFmtId="0" fontId="3" fillId="0" borderId="0" xfId="0" applyFont="1"/>
    <xf numFmtId="0" fontId="29" fillId="0" borderId="0" xfId="0" applyNumberFormat="1" applyFont="1" applyFill="1" applyBorder="1" applyAlignment="1" applyProtection="1"/>
    <xf numFmtId="165" fontId="4" fillId="0" borderId="0" xfId="1" applyNumberFormat="1" applyFont="1" applyFill="1" applyBorder="1" applyAlignment="1" applyProtection="1"/>
    <xf numFmtId="165" fontId="4" fillId="0" borderId="0" xfId="0" applyNumberFormat="1" applyFont="1" applyFill="1" applyBorder="1" applyAlignment="1" applyProtection="1"/>
    <xf numFmtId="165" fontId="5" fillId="0" borderId="0" xfId="0" applyNumberFormat="1" applyFont="1" applyFill="1" applyBorder="1" applyAlignment="1" applyProtection="1"/>
    <xf numFmtId="165" fontId="29" fillId="0" borderId="0" xfId="0" applyNumberFormat="1" applyFont="1" applyFill="1" applyBorder="1" applyAlignment="1" applyProtection="1"/>
    <xf numFmtId="165" fontId="4" fillId="5" borderId="0" xfId="0" applyNumberFormat="1" applyFont="1" applyFill="1" applyBorder="1" applyAlignment="1" applyProtection="1"/>
    <xf numFmtId="0" fontId="29" fillId="5" borderId="0" xfId="0" applyNumberFormat="1" applyFont="1" applyFill="1" applyBorder="1" applyAlignment="1" applyProtection="1"/>
    <xf numFmtId="0" fontId="3" fillId="5" borderId="0" xfId="0" applyNumberFormat="1" applyFont="1" applyFill="1" applyBorder="1" applyAlignment="1" applyProtection="1"/>
    <xf numFmtId="166" fontId="0" fillId="0" borderId="0" xfId="0" applyNumberFormat="1"/>
    <xf numFmtId="0" fontId="4" fillId="3" borderId="0" xfId="0" applyNumberFormat="1" applyFont="1" applyFill="1" applyBorder="1" applyAlignment="1" applyProtection="1"/>
    <xf numFmtId="0" fontId="21" fillId="5" borderId="0" xfId="0" applyNumberFormat="1" applyFont="1" applyFill="1" applyBorder="1" applyAlignment="1" applyProtection="1"/>
    <xf numFmtId="0" fontId="30" fillId="0" borderId="0" xfId="0" applyNumberFormat="1" applyFont="1" applyFill="1" applyBorder="1" applyAlignment="1" applyProtection="1"/>
    <xf numFmtId="0" fontId="31" fillId="0" borderId="0" xfId="0" applyNumberFormat="1" applyFont="1" applyFill="1" applyBorder="1" applyAlignment="1" applyProtection="1"/>
    <xf numFmtId="3" fontId="4" fillId="5" borderId="0" xfId="0" applyNumberFormat="1" applyFont="1" applyFill="1" applyBorder="1" applyAlignment="1" applyProtection="1"/>
    <xf numFmtId="14" fontId="0" fillId="0" borderId="0" xfId="0" applyNumberFormat="1"/>
    <xf numFmtId="0" fontId="32" fillId="0" borderId="0" xfId="0" applyFont="1"/>
    <xf numFmtId="167" fontId="4" fillId="5" borderId="0" xfId="0" applyNumberFormat="1" applyFont="1" applyFill="1" applyBorder="1" applyAlignment="1" applyProtection="1"/>
    <xf numFmtId="3" fontId="0" fillId="0" borderId="0" xfId="0" applyNumberFormat="1"/>
    <xf numFmtId="0" fontId="1" fillId="0" borderId="0" xfId="2"/>
    <xf numFmtId="3" fontId="1" fillId="0" borderId="0" xfId="2" applyNumberFormat="1"/>
    <xf numFmtId="0" fontId="0" fillId="6" borderId="0" xfId="0" applyFill="1"/>
    <xf numFmtId="0" fontId="0" fillId="6" borderId="0" xfId="0" applyNumberFormat="1" applyFont="1" applyFill="1" applyBorder="1" applyAlignment="1" applyProtection="1"/>
    <xf numFmtId="0" fontId="3" fillId="6" borderId="0" xfId="0" applyNumberFormat="1" applyFont="1" applyFill="1" applyBorder="1" applyAlignment="1" applyProtection="1"/>
    <xf numFmtId="0" fontId="0" fillId="5" borderId="0" xfId="0" applyNumberFormat="1" applyFont="1" applyFill="1" applyBorder="1" applyAlignment="1" applyProtection="1"/>
    <xf numFmtId="0" fontId="34" fillId="0" borderId="0" xfId="0" applyFont="1"/>
    <xf numFmtId="14" fontId="32" fillId="0" borderId="0" xfId="0" applyNumberFormat="1" applyFont="1"/>
    <xf numFmtId="0" fontId="34" fillId="5" borderId="0" xfId="0" applyFont="1" applyFill="1"/>
    <xf numFmtId="166" fontId="0" fillId="5" borderId="0" xfId="0" applyNumberFormat="1" applyFill="1"/>
    <xf numFmtId="0" fontId="0" fillId="5" borderId="0" xfId="0" applyFill="1"/>
    <xf numFmtId="0" fontId="34" fillId="4" borderId="0" xfId="0" applyFont="1" applyFill="1"/>
    <xf numFmtId="166" fontId="0" fillId="4" borderId="0" xfId="0" applyNumberFormat="1" applyFill="1"/>
    <xf numFmtId="9" fontId="0" fillId="0" borderId="0" xfId="0" applyNumberFormat="1"/>
    <xf numFmtId="9" fontId="0" fillId="0" borderId="0" xfId="3" applyFont="1"/>
    <xf numFmtId="14" fontId="35" fillId="0" borderId="0" xfId="0" applyNumberFormat="1" applyFont="1"/>
    <xf numFmtId="0" fontId="0" fillId="3" borderId="0" xfId="0" applyFill="1"/>
    <xf numFmtId="0" fontId="0" fillId="7" borderId="0" xfId="0" applyFill="1"/>
    <xf numFmtId="0" fontId="0" fillId="8" borderId="0" xfId="0" applyNumberFormat="1" applyFont="1" applyFill="1" applyBorder="1" applyAlignment="1" applyProtection="1"/>
    <xf numFmtId="0" fontId="0" fillId="9" borderId="0" xfId="0" applyFill="1"/>
    <xf numFmtId="0" fontId="0" fillId="9" borderId="0" xfId="0" applyNumberFormat="1" applyFont="1" applyFill="1" applyBorder="1" applyAlignment="1" applyProtection="1"/>
    <xf numFmtId="0" fontId="36" fillId="0" borderId="0" xfId="0" applyNumberFormat="1" applyFont="1" applyFill="1" applyBorder="1" applyAlignment="1" applyProtection="1"/>
    <xf numFmtId="0" fontId="29" fillId="8" borderId="0" xfId="0" applyNumberFormat="1" applyFont="1" applyFill="1" applyBorder="1" applyAlignment="1" applyProtection="1"/>
    <xf numFmtId="16" fontId="0" fillId="0" borderId="0" xfId="0" applyNumberFormat="1"/>
    <xf numFmtId="0" fontId="0" fillId="10" borderId="0" xfId="0" applyFill="1"/>
  </cellXfs>
  <cellStyles count="4">
    <cellStyle name="Currency" xfId="1" builtinId="4"/>
    <cellStyle name="Normal" xfId="0" builtinId="0"/>
    <cellStyle name="Normal 2" xfId="2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97803806734993"/>
          <c:y val="9.8360918184656185E-2"/>
          <c:w val="0.43191800878477304"/>
          <c:h val="0.80601307956871038"/>
        </c:manualLayout>
      </c:layout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'2007'!$B$68:$B$74</c:f>
              <c:strCache>
                <c:ptCount val="7"/>
                <c:pt idx="0">
                  <c:v>Hus</c:v>
                </c:pt>
                <c:pt idx="1">
                  <c:v>Försäkring</c:v>
                </c:pt>
                <c:pt idx="2">
                  <c:v>Bil</c:v>
                </c:pt>
                <c:pt idx="3">
                  <c:v>Häst</c:v>
                </c:pt>
                <c:pt idx="4">
                  <c:v>Mat</c:v>
                </c:pt>
                <c:pt idx="5">
                  <c:v>FickPeng-spar</c:v>
                </c:pt>
                <c:pt idx="6">
                  <c:v>Ö_kredit</c:v>
                </c:pt>
              </c:strCache>
            </c:strRef>
          </c:cat>
          <c:val>
            <c:numRef>
              <c:f>'2007'!$C$68:$C$74</c:f>
              <c:numCache>
                <c:formatCode>General</c:formatCode>
                <c:ptCount val="7"/>
                <c:pt idx="0">
                  <c:v>14365</c:v>
                </c:pt>
                <c:pt idx="1">
                  <c:v>1618</c:v>
                </c:pt>
                <c:pt idx="2">
                  <c:v>4832</c:v>
                </c:pt>
                <c:pt idx="3">
                  <c:v>3057</c:v>
                </c:pt>
                <c:pt idx="4">
                  <c:v>9600</c:v>
                </c:pt>
                <c:pt idx="5">
                  <c:v>4900</c:v>
                </c:pt>
                <c:pt idx="6">
                  <c:v>8000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601756954612005"/>
          <c:y val="0.30054730863560092"/>
          <c:w val="0.98828696925329429"/>
          <c:h val="0.7049200407326133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60</xdr:row>
      <xdr:rowOff>142875</xdr:rowOff>
    </xdr:from>
    <xdr:to>
      <xdr:col>15</xdr:col>
      <xdr:colOff>161925</xdr:colOff>
      <xdr:row>82</xdr:row>
      <xdr:rowOff>66675</xdr:rowOff>
    </xdr:to>
    <xdr:graphicFrame macro="">
      <xdr:nvGraphicFramePr>
        <xdr:cNvPr id="2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hyperlink" Target="https://privat.ib.seb.se/wow/6000/6100/wow6111.aspx?P1=PCBW25812" TargetMode="External"/><Relationship Id="rId7" Type="http://schemas.openxmlformats.org/officeDocument/2006/relationships/vmlDrawing" Target="../drawings/vmlDrawing3.vml"/><Relationship Id="rId2" Type="http://schemas.openxmlformats.org/officeDocument/2006/relationships/hyperlink" Target="https://privat.ib.seb.se/wow/6000/6100/wow6111.aspx?P1=PCBW25813" TargetMode="External"/><Relationship Id="rId1" Type="http://schemas.openxmlformats.org/officeDocument/2006/relationships/hyperlink" Target="https://privat.ib.seb.se/wow/6000/6100/wow6111.aspx?P1=PCBW25814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privat.ib.seb.se/wow/6000/6100/wow6111.aspx?P1=PCBW25810" TargetMode="External"/><Relationship Id="rId4" Type="http://schemas.openxmlformats.org/officeDocument/2006/relationships/hyperlink" Target="https://privat.ib.seb.se/wow/6000/6100/wow6111.aspx?P1=PCBW2581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privat.ib.seb.se/wow/6000/6100/wow6111.aspx?P1=PCBW2581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9"/>
  <sheetViews>
    <sheetView tabSelected="1" workbookViewId="0">
      <selection activeCell="Q7" sqref="Q7"/>
    </sheetView>
  </sheetViews>
  <sheetFormatPr defaultRowHeight="12.75" x14ac:dyDescent="0.2"/>
  <cols>
    <col min="1" max="1" width="12.42578125" customWidth="1"/>
    <col min="2" max="2" width="22.7109375" customWidth="1"/>
    <col min="4" max="4" width="21.7109375" customWidth="1"/>
    <col min="7" max="7" width="9.140625" customWidth="1"/>
    <col min="8" max="8" width="9.140625" style="2" customWidth="1"/>
    <col min="9" max="15" width="9.140625" hidden="1" customWidth="1"/>
    <col min="16" max="16" width="9.140625" customWidth="1"/>
  </cols>
  <sheetData>
    <row r="1" spans="1:22" x14ac:dyDescent="0.2">
      <c r="B1" s="2" t="s">
        <v>18</v>
      </c>
      <c r="C1" s="2">
        <v>12</v>
      </c>
      <c r="D1" s="2"/>
      <c r="F1" s="2"/>
      <c r="G1" s="2"/>
      <c r="I1" s="1"/>
      <c r="J1" s="2"/>
      <c r="K1" s="1"/>
      <c r="L1" s="1"/>
      <c r="M1" s="1"/>
      <c r="N1" s="1"/>
      <c r="O1" s="1"/>
      <c r="P1" s="1"/>
      <c r="Q1" s="1"/>
      <c r="R1" s="2"/>
      <c r="S1" s="2"/>
      <c r="T1" s="2"/>
      <c r="U1" s="2"/>
      <c r="V1" s="2"/>
    </row>
    <row r="2" spans="1:22" x14ac:dyDescent="0.2">
      <c r="B2" s="38" t="s">
        <v>264</v>
      </c>
      <c r="C2" s="2"/>
      <c r="D2" s="2"/>
      <c r="E2" s="2"/>
      <c r="F2" s="2"/>
      <c r="G2" s="2">
        <v>0</v>
      </c>
      <c r="H2" s="2">
        <v>2000</v>
      </c>
      <c r="I2" s="2">
        <v>2000</v>
      </c>
      <c r="J2" s="38">
        <v>2000</v>
      </c>
      <c r="K2" s="38">
        <v>2000</v>
      </c>
      <c r="L2" s="38">
        <v>0</v>
      </c>
      <c r="M2" s="38">
        <v>0</v>
      </c>
      <c r="N2" s="38">
        <v>0</v>
      </c>
      <c r="O2" s="38">
        <v>0</v>
      </c>
      <c r="P2" s="38">
        <v>0</v>
      </c>
      <c r="Q2" s="38">
        <v>0</v>
      </c>
      <c r="R2" s="2"/>
      <c r="S2" s="2"/>
      <c r="T2" s="2"/>
      <c r="U2" s="2"/>
      <c r="V2" s="2"/>
    </row>
    <row r="3" spans="1:22" x14ac:dyDescent="0.2">
      <c r="B3" s="38" t="s">
        <v>265</v>
      </c>
      <c r="C3" s="2"/>
      <c r="D3" s="2"/>
      <c r="E3" s="2"/>
      <c r="F3" s="2"/>
      <c r="G3" s="2">
        <v>0</v>
      </c>
      <c r="H3" s="2">
        <v>10000</v>
      </c>
      <c r="I3" s="2">
        <v>5000</v>
      </c>
      <c r="J3" s="38">
        <v>5000</v>
      </c>
      <c r="K3" s="38">
        <v>5000</v>
      </c>
      <c r="L3" s="38">
        <v>5000</v>
      </c>
      <c r="M3" s="38">
        <v>5000</v>
      </c>
      <c r="N3" s="38">
        <v>10400</v>
      </c>
      <c r="O3" s="38">
        <v>5400</v>
      </c>
      <c r="P3" s="38">
        <v>5400</v>
      </c>
      <c r="Q3" s="38">
        <v>5400</v>
      </c>
      <c r="R3" s="2"/>
      <c r="S3" s="2"/>
      <c r="T3" s="2"/>
      <c r="U3" s="2"/>
      <c r="V3" s="2"/>
    </row>
    <row r="4" spans="1:22" x14ac:dyDescent="0.2">
      <c r="B4" s="38" t="s">
        <v>301</v>
      </c>
      <c r="C4" s="2"/>
      <c r="D4" s="2"/>
      <c r="E4" s="2"/>
      <c r="F4" s="2"/>
      <c r="G4" s="2">
        <f t="shared" ref="G4:R4" si="0">SUM(G53:G57)</f>
        <v>2531</v>
      </c>
      <c r="H4" s="2">
        <f t="shared" si="0"/>
        <v>3742</v>
      </c>
      <c r="I4" s="2">
        <f t="shared" si="0"/>
        <v>13652</v>
      </c>
      <c r="J4" s="2">
        <f t="shared" si="0"/>
        <v>9511</v>
      </c>
      <c r="K4" s="2">
        <f t="shared" si="0"/>
        <v>6507</v>
      </c>
      <c r="L4" s="2">
        <f t="shared" si="0"/>
        <v>6275</v>
      </c>
      <c r="M4" s="2">
        <f t="shared" si="0"/>
        <v>6815</v>
      </c>
      <c r="N4" s="2">
        <f t="shared" si="0"/>
        <v>6269</v>
      </c>
      <c r="O4" s="2">
        <f t="shared" si="0"/>
        <v>6474</v>
      </c>
      <c r="P4" s="2">
        <f t="shared" si="0"/>
        <v>6266</v>
      </c>
      <c r="Q4" s="2">
        <f t="shared" si="0"/>
        <v>6517</v>
      </c>
      <c r="R4" s="2">
        <f t="shared" si="0"/>
        <v>6290</v>
      </c>
      <c r="S4" s="2"/>
      <c r="T4" s="2"/>
      <c r="U4" s="2"/>
      <c r="V4" s="2"/>
    </row>
    <row r="5" spans="1:22" x14ac:dyDescent="0.2">
      <c r="B5" s="38" t="s">
        <v>300</v>
      </c>
      <c r="C5" s="2"/>
      <c r="D5" s="2"/>
      <c r="E5" s="2"/>
      <c r="F5" s="2">
        <f>SUM(G5:R5)</f>
        <v>-11249</v>
      </c>
      <c r="G5" s="52">
        <f t="shared" ref="G5:R5" si="1">G2+G3-G4</f>
        <v>-2531</v>
      </c>
      <c r="H5" s="63">
        <f t="shared" si="1"/>
        <v>8258</v>
      </c>
      <c r="I5" s="52">
        <f t="shared" si="1"/>
        <v>-6652</v>
      </c>
      <c r="J5" s="52">
        <f t="shared" si="1"/>
        <v>-2511</v>
      </c>
      <c r="K5" s="63">
        <f t="shared" si="1"/>
        <v>493</v>
      </c>
      <c r="L5" s="52">
        <f t="shared" si="1"/>
        <v>-1275</v>
      </c>
      <c r="M5" s="52">
        <f t="shared" si="1"/>
        <v>-1815</v>
      </c>
      <c r="N5" s="63">
        <f t="shared" si="1"/>
        <v>4131</v>
      </c>
      <c r="O5" s="52">
        <f t="shared" si="1"/>
        <v>-1074</v>
      </c>
      <c r="P5" s="52">
        <f t="shared" si="1"/>
        <v>-866</v>
      </c>
      <c r="Q5" s="52">
        <f t="shared" si="1"/>
        <v>-1117</v>
      </c>
      <c r="R5" s="52">
        <f t="shared" si="1"/>
        <v>-6290</v>
      </c>
      <c r="S5" s="2"/>
      <c r="T5" s="2"/>
      <c r="U5" s="2"/>
      <c r="V5" s="2"/>
    </row>
    <row r="6" spans="1:22" x14ac:dyDescent="0.2">
      <c r="B6" s="51" t="s">
        <v>310</v>
      </c>
      <c r="C6" s="2"/>
      <c r="D6" s="38" t="s">
        <v>46</v>
      </c>
      <c r="E6" s="2"/>
      <c r="F6" s="2"/>
      <c r="G6" s="2">
        <f t="shared" ref="G6:R6" si="2">G2+G3</f>
        <v>0</v>
      </c>
      <c r="H6" s="2">
        <f t="shared" si="2"/>
        <v>12000</v>
      </c>
      <c r="I6" s="2">
        <f t="shared" si="2"/>
        <v>7000</v>
      </c>
      <c r="J6" s="2">
        <f t="shared" si="2"/>
        <v>7000</v>
      </c>
      <c r="K6" s="2">
        <f t="shared" si="2"/>
        <v>7000</v>
      </c>
      <c r="L6" s="2">
        <f t="shared" si="2"/>
        <v>5000</v>
      </c>
      <c r="M6" s="2">
        <f t="shared" si="2"/>
        <v>5000</v>
      </c>
      <c r="N6" s="2">
        <f t="shared" si="2"/>
        <v>10400</v>
      </c>
      <c r="O6" s="2">
        <f t="shared" si="2"/>
        <v>5400</v>
      </c>
      <c r="P6" s="2">
        <f t="shared" si="2"/>
        <v>5400</v>
      </c>
      <c r="Q6" s="2">
        <f t="shared" si="2"/>
        <v>5400</v>
      </c>
      <c r="R6" s="2">
        <f t="shared" si="2"/>
        <v>0</v>
      </c>
      <c r="S6" s="2"/>
      <c r="T6" s="2"/>
      <c r="U6" s="2"/>
      <c r="V6" s="2"/>
    </row>
    <row r="7" spans="1:22" x14ac:dyDescent="0.2">
      <c r="B7" s="2" t="s">
        <v>29</v>
      </c>
      <c r="C7" s="2"/>
      <c r="D7" s="2"/>
      <c r="E7" s="2">
        <v>58000</v>
      </c>
      <c r="F7" s="2">
        <f>ROUND(SUM(G7:R7)/No_months1,0)</f>
        <v>56541</v>
      </c>
      <c r="G7" s="2">
        <f>33853+25025</f>
        <v>58878</v>
      </c>
      <c r="H7" s="2">
        <f>32816+25025</f>
        <v>57841</v>
      </c>
      <c r="I7" s="2">
        <f>34153+25866</f>
        <v>60019</v>
      </c>
      <c r="J7" s="2">
        <f>41668+25025</f>
        <v>66693</v>
      </c>
      <c r="K7" s="2">
        <f>33592+26105</f>
        <v>59697</v>
      </c>
      <c r="L7" s="2">
        <f>40849+30993</f>
        <v>71842</v>
      </c>
      <c r="M7" s="2">
        <f>34149+26374</f>
        <v>60523</v>
      </c>
      <c r="N7" s="2">
        <f>35053+26374</f>
        <v>61427</v>
      </c>
      <c r="O7" s="2">
        <f>34149+26374</f>
        <v>60523</v>
      </c>
      <c r="P7" s="2">
        <f>34149+26374</f>
        <v>60523</v>
      </c>
      <c r="Q7" s="2">
        <f>34149+26374</f>
        <v>60523</v>
      </c>
      <c r="R7" s="2">
        <f>0+0</f>
        <v>0</v>
      </c>
      <c r="S7" s="2"/>
      <c r="T7" s="2"/>
      <c r="U7" s="2"/>
      <c r="V7" s="2"/>
    </row>
    <row r="8" spans="1:22" x14ac:dyDescent="0.2">
      <c r="B8" s="38" t="s">
        <v>32</v>
      </c>
      <c r="C8" s="2"/>
      <c r="D8" s="2"/>
      <c r="E8" s="2"/>
      <c r="F8" s="2">
        <f>SUM(G8:R8)</f>
        <v>-73326</v>
      </c>
      <c r="G8" s="59">
        <f t="shared" ref="G8:R8" si="3">G6+G7-G10</f>
        <v>-34544</v>
      </c>
      <c r="H8" s="59">
        <f t="shared" si="3"/>
        <v>914</v>
      </c>
      <c r="I8" s="59">
        <f t="shared" si="3"/>
        <v>-6111</v>
      </c>
      <c r="J8" s="59">
        <f t="shared" si="3"/>
        <v>14712</v>
      </c>
      <c r="K8" s="59">
        <f t="shared" si="3"/>
        <v>-2675</v>
      </c>
      <c r="L8" s="59">
        <f t="shared" si="3"/>
        <v>18221</v>
      </c>
      <c r="M8" s="59">
        <f t="shared" si="3"/>
        <v>-11206</v>
      </c>
      <c r="N8" s="59">
        <f t="shared" si="3"/>
        <v>5041</v>
      </c>
      <c r="O8" s="59">
        <f t="shared" si="3"/>
        <v>10360</v>
      </c>
      <c r="P8" s="59">
        <f t="shared" si="3"/>
        <v>2443</v>
      </c>
      <c r="Q8" s="59">
        <f t="shared" si="3"/>
        <v>3171</v>
      </c>
      <c r="R8" s="59">
        <f t="shared" si="3"/>
        <v>-73652</v>
      </c>
      <c r="S8" s="2"/>
      <c r="T8" s="2"/>
      <c r="U8" s="2"/>
      <c r="V8" s="2"/>
    </row>
    <row r="9" spans="1:22" x14ac:dyDescent="0.2">
      <c r="B9" s="3" t="s">
        <v>0</v>
      </c>
      <c r="C9" s="3"/>
      <c r="D9" s="3"/>
      <c r="E9" s="4" t="s">
        <v>1</v>
      </c>
      <c r="F9" s="7" t="s">
        <v>5</v>
      </c>
      <c r="G9" s="5" t="s">
        <v>6</v>
      </c>
      <c r="H9" s="11" t="s">
        <v>7</v>
      </c>
      <c r="I9" s="4" t="s">
        <v>8</v>
      </c>
      <c r="J9" s="5" t="s">
        <v>9</v>
      </c>
      <c r="K9" s="5" t="s">
        <v>10</v>
      </c>
      <c r="L9" s="5" t="s">
        <v>11</v>
      </c>
      <c r="M9" s="5" t="s">
        <v>12</v>
      </c>
      <c r="N9" s="5" t="s">
        <v>13</v>
      </c>
      <c r="O9" s="5" t="s">
        <v>14</v>
      </c>
      <c r="P9" s="5" t="s">
        <v>192</v>
      </c>
      <c r="Q9" s="5" t="s">
        <v>16</v>
      </c>
      <c r="R9" s="5" t="s">
        <v>17</v>
      </c>
      <c r="S9" s="3"/>
      <c r="T9" s="3"/>
      <c r="U9" s="2"/>
      <c r="V9" s="2"/>
    </row>
    <row r="10" spans="1:22" x14ac:dyDescent="0.2">
      <c r="B10" s="47" t="s">
        <v>26</v>
      </c>
      <c r="C10" s="48"/>
      <c r="D10" s="48"/>
      <c r="E10" s="49">
        <f>SUM(E11:E52)</f>
        <v>60468</v>
      </c>
      <c r="F10" s="48">
        <f>ROUND(SUM(H10:R10)/C1,0)</f>
        <v>60666</v>
      </c>
      <c r="G10" s="49">
        <f>SUM(G11:G47)+SUM(G49:G57)</f>
        <v>93422</v>
      </c>
      <c r="H10" s="49">
        <f>SUM(H11:H47)+SUM(H49:H57)</f>
        <v>68927</v>
      </c>
      <c r="I10" s="49">
        <f t="shared" ref="I10:R10" si="4">SUM(I11:I47)+SUM(I49:I57)</f>
        <v>73130</v>
      </c>
      <c r="J10" s="49">
        <f t="shared" si="4"/>
        <v>58981</v>
      </c>
      <c r="K10" s="49">
        <f t="shared" si="4"/>
        <v>69372</v>
      </c>
      <c r="L10" s="49">
        <f t="shared" si="4"/>
        <v>58621</v>
      </c>
      <c r="M10" s="49">
        <f t="shared" si="4"/>
        <v>76729</v>
      </c>
      <c r="N10" s="49">
        <f t="shared" si="4"/>
        <v>66786</v>
      </c>
      <c r="O10" s="49">
        <f t="shared" si="4"/>
        <v>55563</v>
      </c>
      <c r="P10" s="49">
        <f t="shared" si="4"/>
        <v>63480</v>
      </c>
      <c r="Q10" s="49">
        <f t="shared" si="4"/>
        <v>62752</v>
      </c>
      <c r="R10" s="49">
        <f t="shared" si="4"/>
        <v>73652</v>
      </c>
      <c r="S10" s="3"/>
      <c r="T10" s="3"/>
      <c r="U10" s="2"/>
      <c r="V10" s="2"/>
    </row>
    <row r="11" spans="1:22" x14ac:dyDescent="0.2">
      <c r="A11" t="s">
        <v>102</v>
      </c>
      <c r="B11" s="45" t="s">
        <v>227</v>
      </c>
      <c r="C11" s="45" t="s">
        <v>232</v>
      </c>
      <c r="D11" s="45"/>
      <c r="E11" s="63">
        <v>3350</v>
      </c>
      <c r="F11" s="38">
        <f t="shared" ref="F11:F50" si="5">ROUND(SUM(G11:R11)/No_months1,0)</f>
        <v>3183</v>
      </c>
      <c r="G11" s="38">
        <v>2259</v>
      </c>
      <c r="H11" s="38">
        <f>8645-H12</f>
        <v>2980</v>
      </c>
      <c r="I11" s="38">
        <f>1896+1445+1465+1620+2212-I12</f>
        <v>2973</v>
      </c>
      <c r="J11" s="38">
        <f>2144+1933+1846+1600+1417-J12</f>
        <v>3275</v>
      </c>
      <c r="K11" s="38">
        <f>9017-K12</f>
        <v>3352</v>
      </c>
      <c r="L11" s="38">
        <f>9011-L12</f>
        <v>3346</v>
      </c>
      <c r="M11" s="38">
        <f>9455-M12</f>
        <v>3790</v>
      </c>
      <c r="N11" s="38">
        <f>9008-N12</f>
        <v>3343</v>
      </c>
      <c r="O11" s="38">
        <f>5671-O12</f>
        <v>3271</v>
      </c>
      <c r="P11" s="38">
        <f>5597-P12</f>
        <v>3197</v>
      </c>
      <c r="Q11" s="38">
        <f>5609-Q12</f>
        <v>3209</v>
      </c>
      <c r="R11" s="38">
        <f>5606-R12</f>
        <v>3206</v>
      </c>
      <c r="S11" s="2"/>
      <c r="T11" s="2"/>
      <c r="U11" s="2"/>
      <c r="V11" s="2"/>
    </row>
    <row r="12" spans="1:22" x14ac:dyDescent="0.2">
      <c r="A12" t="s">
        <v>102</v>
      </c>
      <c r="B12" s="45" t="s">
        <v>228</v>
      </c>
      <c r="C12" s="45" t="s">
        <v>232</v>
      </c>
      <c r="D12" s="45"/>
      <c r="E12" s="63">
        <v>5565</v>
      </c>
      <c r="F12" s="38">
        <f t="shared" si="5"/>
        <v>4507</v>
      </c>
      <c r="G12" s="38">
        <v>4830</v>
      </c>
      <c r="H12" s="38">
        <f>1530+500+1400+1400+835</f>
        <v>5665</v>
      </c>
      <c r="I12" s="38">
        <f>1530+500+1400+1400+835</f>
        <v>5665</v>
      </c>
      <c r="J12" s="38">
        <f>1530+500+1400+1400+835</f>
        <v>5665</v>
      </c>
      <c r="K12" s="38">
        <v>5665</v>
      </c>
      <c r="L12" s="38">
        <v>5665</v>
      </c>
      <c r="M12" s="38">
        <v>5665</v>
      </c>
      <c r="N12" s="38">
        <f>1530+500+1400+1400+835</f>
        <v>5665</v>
      </c>
      <c r="O12" s="38">
        <v>2400</v>
      </c>
      <c r="P12" s="38">
        <v>2400</v>
      </c>
      <c r="Q12" s="38">
        <v>2400</v>
      </c>
      <c r="R12" s="38">
        <v>2400</v>
      </c>
      <c r="S12" s="2"/>
      <c r="T12" s="2"/>
      <c r="U12" s="2"/>
      <c r="V12" s="2"/>
    </row>
    <row r="13" spans="1:22" x14ac:dyDescent="0.2">
      <c r="A13" t="s">
        <v>303</v>
      </c>
      <c r="B13" s="45" t="s">
        <v>195</v>
      </c>
      <c r="C13" s="45" t="s">
        <v>232</v>
      </c>
      <c r="D13" s="45"/>
      <c r="E13" s="63">
        <v>2173</v>
      </c>
      <c r="F13" s="38">
        <f t="shared" si="5"/>
        <v>1838</v>
      </c>
      <c r="G13" s="38">
        <f>1232+2662</f>
        <v>3894</v>
      </c>
      <c r="H13" s="38">
        <v>0</v>
      </c>
      <c r="I13" s="38">
        <f>4027+1647</f>
        <v>5674</v>
      </c>
      <c r="J13" s="38">
        <v>0</v>
      </c>
      <c r="K13" s="38">
        <f>2664+1168</f>
        <v>3832</v>
      </c>
      <c r="L13" s="38">
        <v>0</v>
      </c>
      <c r="M13" s="38">
        <f>1126+684</f>
        <v>1810</v>
      </c>
      <c r="N13" s="38">
        <v>0</v>
      </c>
      <c r="O13" s="38">
        <f>1107+645</f>
        <v>1752</v>
      </c>
      <c r="P13" s="38">
        <f>495+317</f>
        <v>812</v>
      </c>
      <c r="Q13" s="38">
        <f>1331+974</f>
        <v>2305</v>
      </c>
      <c r="R13" s="38">
        <v>1971</v>
      </c>
      <c r="S13" s="2"/>
      <c r="T13" s="2"/>
      <c r="U13" s="2"/>
      <c r="V13" s="2"/>
    </row>
    <row r="14" spans="1:22" x14ac:dyDescent="0.2">
      <c r="A14" t="s">
        <v>303</v>
      </c>
      <c r="B14" s="45" t="s">
        <v>196</v>
      </c>
      <c r="C14" s="45" t="s">
        <v>232</v>
      </c>
      <c r="D14" s="38" t="s">
        <v>46</v>
      </c>
      <c r="E14" s="63">
        <v>562</v>
      </c>
      <c r="F14" s="38">
        <f t="shared" si="5"/>
        <v>608</v>
      </c>
      <c r="G14" s="38">
        <v>0</v>
      </c>
      <c r="H14" s="38">
        <v>0</v>
      </c>
      <c r="I14" s="38">
        <v>1290</v>
      </c>
      <c r="J14" s="38">
        <v>0</v>
      </c>
      <c r="K14" s="38">
        <v>0</v>
      </c>
      <c r="L14" s="38">
        <f>1955</f>
        <v>1955</v>
      </c>
      <c r="M14" s="38">
        <v>0</v>
      </c>
      <c r="N14" s="38">
        <v>0</v>
      </c>
      <c r="O14" s="38">
        <v>2093</v>
      </c>
      <c r="P14" s="38">
        <v>0</v>
      </c>
      <c r="Q14" s="38">
        <v>0</v>
      </c>
      <c r="R14" s="38">
        <v>1954</v>
      </c>
      <c r="S14" s="2"/>
      <c r="T14" s="2"/>
      <c r="U14" s="2"/>
      <c r="V14" s="2"/>
    </row>
    <row r="15" spans="1:22" x14ac:dyDescent="0.2">
      <c r="A15" t="s">
        <v>303</v>
      </c>
      <c r="B15" s="45" t="s">
        <v>197</v>
      </c>
      <c r="C15" s="45" t="s">
        <v>232</v>
      </c>
      <c r="D15" s="45" t="s">
        <v>237</v>
      </c>
      <c r="E15" s="91">
        <v>406</v>
      </c>
      <c r="F15" s="38">
        <f t="shared" si="5"/>
        <v>406</v>
      </c>
      <c r="G15" s="38">
        <v>0</v>
      </c>
      <c r="H15" s="38">
        <v>0</v>
      </c>
      <c r="I15" s="38">
        <v>0</v>
      </c>
      <c r="J15" s="38">
        <v>0</v>
      </c>
      <c r="K15" s="38">
        <v>0</v>
      </c>
      <c r="L15" s="38">
        <v>0</v>
      </c>
      <c r="M15" s="38">
        <v>0</v>
      </c>
      <c r="N15" s="38">
        <v>0</v>
      </c>
      <c r="O15" s="38">
        <v>4867</v>
      </c>
      <c r="P15" s="38">
        <v>0</v>
      </c>
      <c r="Q15" s="38">
        <v>0</v>
      </c>
      <c r="R15" s="38">
        <v>0</v>
      </c>
      <c r="S15" s="2"/>
      <c r="T15" s="2" t="s">
        <v>46</v>
      </c>
      <c r="U15" s="2"/>
      <c r="V15" s="2"/>
    </row>
    <row r="16" spans="1:22" x14ac:dyDescent="0.2">
      <c r="A16" t="s">
        <v>303</v>
      </c>
      <c r="B16" s="52" t="s">
        <v>198</v>
      </c>
      <c r="C16" s="45" t="s">
        <v>232</v>
      </c>
      <c r="D16" s="45"/>
      <c r="E16" s="52">
        <v>74</v>
      </c>
      <c r="F16" s="38">
        <f t="shared" si="5"/>
        <v>138</v>
      </c>
      <c r="G16" s="38">
        <v>0</v>
      </c>
      <c r="H16" s="38">
        <v>0</v>
      </c>
      <c r="I16" s="38">
        <v>0</v>
      </c>
      <c r="J16" s="38">
        <v>0</v>
      </c>
      <c r="K16" s="38">
        <v>0</v>
      </c>
      <c r="L16" s="38">
        <v>0</v>
      </c>
      <c r="M16" s="38">
        <v>0</v>
      </c>
      <c r="N16" s="38">
        <v>0</v>
      </c>
      <c r="O16" s="38">
        <v>0</v>
      </c>
      <c r="P16" s="38">
        <v>0</v>
      </c>
      <c r="Q16" s="38">
        <f>1653</f>
        <v>1653</v>
      </c>
      <c r="R16" s="38">
        <v>0</v>
      </c>
      <c r="S16" s="2"/>
      <c r="T16" s="2"/>
      <c r="U16" s="2"/>
      <c r="V16" s="2"/>
    </row>
    <row r="17" spans="1:22" x14ac:dyDescent="0.2">
      <c r="A17" t="s">
        <v>303</v>
      </c>
      <c r="B17" s="45" t="s">
        <v>199</v>
      </c>
      <c r="C17" s="45" t="s">
        <v>232</v>
      </c>
      <c r="D17" s="45" t="s">
        <v>238</v>
      </c>
      <c r="E17" s="63">
        <v>353</v>
      </c>
      <c r="F17" s="38">
        <f t="shared" si="5"/>
        <v>343</v>
      </c>
      <c r="G17" s="38">
        <v>0</v>
      </c>
      <c r="H17" s="38">
        <v>1000</v>
      </c>
      <c r="I17" s="38">
        <v>0</v>
      </c>
      <c r="J17" s="38">
        <v>0</v>
      </c>
      <c r="K17" s="38">
        <v>1000</v>
      </c>
      <c r="L17" s="38">
        <v>0</v>
      </c>
      <c r="M17" s="38">
        <v>0</v>
      </c>
      <c r="N17" s="38">
        <v>1057</v>
      </c>
      <c r="O17" s="38">
        <v>0</v>
      </c>
      <c r="P17" s="38">
        <v>0</v>
      </c>
      <c r="Q17" s="38">
        <v>1057</v>
      </c>
      <c r="R17" s="38">
        <v>0</v>
      </c>
      <c r="S17" s="2"/>
      <c r="T17" s="2"/>
      <c r="U17" s="2"/>
      <c r="V17" s="2"/>
    </row>
    <row r="18" spans="1:22" x14ac:dyDescent="0.2">
      <c r="A18" t="s">
        <v>303</v>
      </c>
      <c r="B18" s="45" t="s">
        <v>231</v>
      </c>
      <c r="C18" s="45" t="s">
        <v>232</v>
      </c>
      <c r="D18" s="45" t="s">
        <v>239</v>
      </c>
      <c r="E18" s="64">
        <v>35</v>
      </c>
      <c r="F18" s="38">
        <f t="shared" si="5"/>
        <v>35</v>
      </c>
      <c r="G18" s="38">
        <v>0</v>
      </c>
      <c r="H18" s="38">
        <v>0</v>
      </c>
      <c r="I18" s="38">
        <v>0</v>
      </c>
      <c r="J18" s="38">
        <v>0</v>
      </c>
      <c r="K18" s="38">
        <v>0</v>
      </c>
      <c r="L18" s="38">
        <v>0</v>
      </c>
      <c r="M18" s="38">
        <v>0</v>
      </c>
      <c r="N18" s="38">
        <v>0</v>
      </c>
      <c r="O18" s="38">
        <v>0</v>
      </c>
      <c r="P18" s="38">
        <v>0</v>
      </c>
      <c r="Q18" s="38">
        <v>425</v>
      </c>
      <c r="R18" s="38">
        <v>0</v>
      </c>
      <c r="S18" s="2"/>
      <c r="T18" s="2"/>
      <c r="U18" s="2"/>
      <c r="V18" s="2"/>
    </row>
    <row r="19" spans="1:22" x14ac:dyDescent="0.2">
      <c r="A19" t="s">
        <v>303</v>
      </c>
      <c r="B19" s="45" t="s">
        <v>200</v>
      </c>
      <c r="C19" s="45" t="s">
        <v>113</v>
      </c>
      <c r="D19" s="45" t="s">
        <v>240</v>
      </c>
      <c r="E19" s="64">
        <v>50</v>
      </c>
      <c r="F19" s="38">
        <f t="shared" si="5"/>
        <v>17</v>
      </c>
      <c r="G19" s="38">
        <v>0</v>
      </c>
      <c r="H19" s="38">
        <v>0</v>
      </c>
      <c r="I19" s="38">
        <f>97</f>
        <v>97</v>
      </c>
      <c r="J19" s="38">
        <v>0</v>
      </c>
      <c r="K19" s="38">
        <v>0</v>
      </c>
      <c r="L19" s="38">
        <v>56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52</v>
      </c>
      <c r="S19" s="2"/>
      <c r="T19" s="2"/>
      <c r="U19" s="2"/>
      <c r="V19" s="2"/>
    </row>
    <row r="20" spans="1:22" x14ac:dyDescent="0.2">
      <c r="A20" t="s">
        <v>303</v>
      </c>
      <c r="B20" s="45" t="s">
        <v>242</v>
      </c>
      <c r="C20" s="45" t="s">
        <v>113</v>
      </c>
      <c r="D20" s="45" t="s">
        <v>240</v>
      </c>
      <c r="E20" s="52">
        <v>400</v>
      </c>
      <c r="F20" s="38">
        <f t="shared" si="5"/>
        <v>581</v>
      </c>
      <c r="G20" s="38">
        <f>807-G21</f>
        <v>419</v>
      </c>
      <c r="H20" s="38">
        <f>807-H21</f>
        <v>419</v>
      </c>
      <c r="I20" s="38">
        <f>807-I21</f>
        <v>419</v>
      </c>
      <c r="J20" s="38">
        <f>993-J21</f>
        <v>605</v>
      </c>
      <c r="K20" s="38">
        <f>956-K21</f>
        <v>568</v>
      </c>
      <c r="L20" s="38">
        <f>1018-L21</f>
        <v>630</v>
      </c>
      <c r="M20" s="38">
        <f>996-M21</f>
        <v>608</v>
      </c>
      <c r="N20" s="38">
        <f>996-N21</f>
        <v>608</v>
      </c>
      <c r="O20" s="38">
        <f>95+1030-O21</f>
        <v>737</v>
      </c>
      <c r="P20" s="38">
        <f>1104-P21</f>
        <v>685</v>
      </c>
      <c r="Q20" s="38">
        <f>1057-Q21</f>
        <v>638</v>
      </c>
      <c r="R20" s="38">
        <f>1057-R21</f>
        <v>638</v>
      </c>
      <c r="S20" s="2"/>
      <c r="T20" s="2"/>
      <c r="U20" s="2"/>
      <c r="V20" s="2"/>
    </row>
    <row r="21" spans="1:22" x14ac:dyDescent="0.2">
      <c r="A21" t="s">
        <v>303</v>
      </c>
      <c r="B21" s="45" t="s">
        <v>202</v>
      </c>
      <c r="C21" s="45" t="s">
        <v>113</v>
      </c>
      <c r="D21" s="45" t="s">
        <v>240</v>
      </c>
      <c r="E21" s="52">
        <v>367</v>
      </c>
      <c r="F21" s="38">
        <f t="shared" si="5"/>
        <v>396</v>
      </c>
      <c r="G21" s="38">
        <v>388</v>
      </c>
      <c r="H21" s="38">
        <v>388</v>
      </c>
      <c r="I21" s="38">
        <v>388</v>
      </c>
      <c r="J21" s="38">
        <v>388</v>
      </c>
      <c r="K21" s="38">
        <v>388</v>
      </c>
      <c r="L21" s="38">
        <v>388</v>
      </c>
      <c r="M21" s="38">
        <v>388</v>
      </c>
      <c r="N21" s="38">
        <v>388</v>
      </c>
      <c r="O21" s="38">
        <v>388</v>
      </c>
      <c r="P21" s="38">
        <v>419</v>
      </c>
      <c r="Q21" s="38">
        <v>419</v>
      </c>
      <c r="R21" s="38">
        <v>419</v>
      </c>
      <c r="S21" s="2"/>
      <c r="T21" s="2"/>
      <c r="U21" s="2"/>
      <c r="V21" s="2"/>
    </row>
    <row r="22" spans="1:22" x14ac:dyDescent="0.2">
      <c r="A22" s="89" t="s">
        <v>304</v>
      </c>
      <c r="B22" s="90"/>
      <c r="C22" s="90"/>
      <c r="D22" s="90"/>
      <c r="E22" s="90">
        <f>SUM(E13:E21)</f>
        <v>4420</v>
      </c>
      <c r="F22" s="90">
        <f>SUM(F13:F21)</f>
        <v>4362</v>
      </c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2"/>
      <c r="T22" s="2"/>
      <c r="U22" s="2"/>
      <c r="V22" s="2"/>
    </row>
    <row r="23" spans="1:22" x14ac:dyDescent="0.2">
      <c r="A23" s="38" t="s">
        <v>221</v>
      </c>
      <c r="B23" s="88" t="s">
        <v>206</v>
      </c>
      <c r="C23" s="45" t="s">
        <v>114</v>
      </c>
      <c r="D23" s="45"/>
      <c r="E23" s="52">
        <v>3000</v>
      </c>
      <c r="F23" s="38">
        <f t="shared" si="5"/>
        <v>1675</v>
      </c>
      <c r="G23" s="38">
        <f>504+199+497+537+225+190</f>
        <v>2152</v>
      </c>
      <c r="H23" s="38">
        <f>532+329</f>
        <v>861</v>
      </c>
      <c r="I23" s="38">
        <f>528+811+109</f>
        <v>1448</v>
      </c>
      <c r="J23" s="38">
        <v>0</v>
      </c>
      <c r="K23" s="38">
        <f>771+100+49+753</f>
        <v>1673</v>
      </c>
      <c r="L23" s="38">
        <f>593+751</f>
        <v>1344</v>
      </c>
      <c r="M23" s="38">
        <f>305+808+595+205+609+586</f>
        <v>3108</v>
      </c>
      <c r="N23" s="38">
        <f>699+97+584+520+530</f>
        <v>2430</v>
      </c>
      <c r="O23" s="38">
        <f>378+700+599</f>
        <v>1677</v>
      </c>
      <c r="P23" s="38">
        <v>2500</v>
      </c>
      <c r="Q23" s="38">
        <f>798+634+946+523</f>
        <v>2901</v>
      </c>
      <c r="R23" s="38">
        <v>0</v>
      </c>
      <c r="S23" s="2"/>
      <c r="T23" s="2"/>
      <c r="U23" s="2"/>
      <c r="V23" s="2"/>
    </row>
    <row r="24" spans="1:22" x14ac:dyDescent="0.2">
      <c r="A24" s="38" t="s">
        <v>221</v>
      </c>
      <c r="B24" s="45" t="s">
        <v>31</v>
      </c>
      <c r="C24" s="45" t="s">
        <v>114</v>
      </c>
      <c r="D24" s="38" t="s">
        <v>46</v>
      </c>
      <c r="E24" s="52">
        <v>315</v>
      </c>
      <c r="F24" s="38">
        <f t="shared" si="5"/>
        <v>519</v>
      </c>
      <c r="G24" s="38">
        <f>2205</f>
        <v>2205</v>
      </c>
      <c r="H24" s="38">
        <v>0</v>
      </c>
      <c r="I24" s="38">
        <v>0</v>
      </c>
      <c r="J24" s="38">
        <v>1570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2456</v>
      </c>
      <c r="R24" s="38">
        <v>0</v>
      </c>
      <c r="S24" s="2" t="s">
        <v>46</v>
      </c>
      <c r="T24" s="2"/>
      <c r="U24" s="2"/>
      <c r="V24" s="2"/>
    </row>
    <row r="25" spans="1:22" x14ac:dyDescent="0.2">
      <c r="A25" s="38" t="s">
        <v>221</v>
      </c>
      <c r="B25" s="45" t="s">
        <v>35</v>
      </c>
      <c r="C25" s="45" t="s">
        <v>114</v>
      </c>
      <c r="D25" s="45" t="s">
        <v>237</v>
      </c>
      <c r="E25" s="64">
        <v>1100</v>
      </c>
      <c r="F25" s="38">
        <f t="shared" si="5"/>
        <v>1118</v>
      </c>
      <c r="G25" s="52">
        <f>2361+1580</f>
        <v>3941</v>
      </c>
      <c r="H25" s="38">
        <f>250</f>
        <v>250</v>
      </c>
      <c r="I25" s="38">
        <f>5848</f>
        <v>5848</v>
      </c>
      <c r="J25" s="38">
        <v>0</v>
      </c>
      <c r="K25" s="38">
        <v>0</v>
      </c>
      <c r="L25" s="38">
        <f>1651</f>
        <v>1651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f>1729</f>
        <v>1729</v>
      </c>
      <c r="S25" s="2"/>
      <c r="T25" s="2"/>
      <c r="U25" s="2"/>
      <c r="V25" s="2"/>
    </row>
    <row r="26" spans="1:22" x14ac:dyDescent="0.2">
      <c r="A26" s="38" t="s">
        <v>221</v>
      </c>
      <c r="B26" s="92" t="s">
        <v>54</v>
      </c>
      <c r="C26" s="45" t="s">
        <v>114</v>
      </c>
      <c r="D26" s="45"/>
      <c r="E26" s="52">
        <v>1200</v>
      </c>
      <c r="F26" s="38">
        <f t="shared" si="5"/>
        <v>1863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8">
        <v>2854</v>
      </c>
      <c r="M26" s="38">
        <v>2854</v>
      </c>
      <c r="N26" s="38">
        <v>2863</v>
      </c>
      <c r="O26" s="38">
        <f>2406+2854</f>
        <v>5260</v>
      </c>
      <c r="P26" s="38">
        <f>8520</f>
        <v>8520</v>
      </c>
      <c r="Q26" s="38">
        <v>0</v>
      </c>
      <c r="R26" s="38">
        <v>0</v>
      </c>
      <c r="S26" s="2"/>
      <c r="T26" s="2"/>
      <c r="U26" s="2"/>
      <c r="V26" s="2"/>
    </row>
    <row r="27" spans="1:22" x14ac:dyDescent="0.2">
      <c r="A27" s="38" t="s">
        <v>221</v>
      </c>
      <c r="B27" s="45" t="s">
        <v>218</v>
      </c>
      <c r="C27" s="45" t="s">
        <v>114</v>
      </c>
      <c r="D27" s="45"/>
      <c r="E27" s="64">
        <v>690</v>
      </c>
      <c r="F27" s="38">
        <f t="shared" si="5"/>
        <v>630</v>
      </c>
      <c r="G27" s="38">
        <f>287</f>
        <v>287</v>
      </c>
      <c r="H27" s="38">
        <f>198+360</f>
        <v>558</v>
      </c>
      <c r="I27" s="38">
        <f>62+341</f>
        <v>403</v>
      </c>
      <c r="J27" s="38">
        <f>294+536</f>
        <v>830</v>
      </c>
      <c r="K27" s="38">
        <f>437+318</f>
        <v>755</v>
      </c>
      <c r="L27" s="38">
        <f>501+241</f>
        <v>742</v>
      </c>
      <c r="M27" s="38">
        <f>501+241</f>
        <v>742</v>
      </c>
      <c r="N27" s="38">
        <f>458+223</f>
        <v>681</v>
      </c>
      <c r="O27" s="38">
        <f>215+566</f>
        <v>781</v>
      </c>
      <c r="P27" s="38">
        <f>201+658</f>
        <v>859</v>
      </c>
      <c r="Q27" s="38">
        <f>569+347</f>
        <v>916</v>
      </c>
      <c r="R27" s="38">
        <v>0</v>
      </c>
      <c r="V27" s="2"/>
    </row>
    <row r="28" spans="1:22" x14ac:dyDescent="0.2">
      <c r="A28" s="38" t="s">
        <v>221</v>
      </c>
      <c r="B28" s="45" t="s">
        <v>220</v>
      </c>
      <c r="C28" s="45" t="s">
        <v>114</v>
      </c>
      <c r="D28" s="45"/>
      <c r="E28" s="45">
        <v>250</v>
      </c>
      <c r="F28" s="38">
        <v>0</v>
      </c>
      <c r="G28" s="38">
        <v>0</v>
      </c>
      <c r="H28" s="38">
        <v>0</v>
      </c>
      <c r="I28" s="38">
        <v>0</v>
      </c>
      <c r="J28" s="38">
        <v>26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V28" s="2"/>
    </row>
    <row r="29" spans="1:22" x14ac:dyDescent="0.2">
      <c r="A29" s="89" t="s">
        <v>305</v>
      </c>
      <c r="B29" s="90"/>
      <c r="C29" s="90"/>
      <c r="D29" s="90"/>
      <c r="E29" s="90">
        <f>SUM(E23:E28)</f>
        <v>6555</v>
      </c>
      <c r="F29" s="38">
        <f t="shared" si="5"/>
        <v>0</v>
      </c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2"/>
      <c r="T29" s="2"/>
      <c r="U29" s="2"/>
      <c r="V29" s="2"/>
    </row>
    <row r="30" spans="1:22" x14ac:dyDescent="0.2">
      <c r="A30" t="s">
        <v>194</v>
      </c>
      <c r="B30" s="45" t="s">
        <v>203</v>
      </c>
      <c r="C30" s="45" t="s">
        <v>113</v>
      </c>
      <c r="D30" s="45" t="s">
        <v>241</v>
      </c>
      <c r="E30" s="45">
        <v>170</v>
      </c>
      <c r="F30" s="38">
        <f t="shared" si="5"/>
        <v>139</v>
      </c>
      <c r="G30" s="38">
        <v>0</v>
      </c>
      <c r="H30" s="38">
        <v>0</v>
      </c>
      <c r="I30" s="38">
        <v>554</v>
      </c>
      <c r="J30" s="38">
        <v>0</v>
      </c>
      <c r="K30" s="38">
        <v>0</v>
      </c>
      <c r="L30" s="38">
        <v>0</v>
      </c>
      <c r="M30" s="38">
        <v>0</v>
      </c>
      <c r="N30" s="38">
        <v>0</v>
      </c>
      <c r="O30" s="38">
        <v>554</v>
      </c>
      <c r="P30" s="38">
        <v>0</v>
      </c>
      <c r="Q30" s="38">
        <v>0</v>
      </c>
      <c r="R30" s="38">
        <v>554</v>
      </c>
      <c r="S30" s="2"/>
      <c r="T30" s="2"/>
      <c r="U30" s="2"/>
      <c r="V30" s="2"/>
    </row>
    <row r="31" spans="1:22" x14ac:dyDescent="0.2">
      <c r="A31" t="s">
        <v>194</v>
      </c>
      <c r="B31" s="88" t="s">
        <v>204</v>
      </c>
      <c r="C31" s="45" t="s">
        <v>113</v>
      </c>
      <c r="D31" s="45"/>
      <c r="E31" s="63">
        <v>262</v>
      </c>
      <c r="F31" s="38">
        <f t="shared" si="5"/>
        <v>165</v>
      </c>
      <c r="G31" s="38">
        <v>195</v>
      </c>
      <c r="H31" s="38">
        <v>0</v>
      </c>
      <c r="I31" s="38">
        <v>0</v>
      </c>
      <c r="J31" s="38">
        <v>0</v>
      </c>
      <c r="K31" s="38">
        <v>262</v>
      </c>
      <c r="L31" s="38">
        <v>262</v>
      </c>
      <c r="M31" s="38">
        <v>262</v>
      </c>
      <c r="N31" s="38">
        <v>0</v>
      </c>
      <c r="O31" s="38">
        <v>249</v>
      </c>
      <c r="P31" s="38">
        <v>249</v>
      </c>
      <c r="Q31" s="38">
        <v>249</v>
      </c>
      <c r="R31" s="38">
        <v>255</v>
      </c>
      <c r="S31" s="2"/>
      <c r="T31" s="2"/>
      <c r="U31" s="2"/>
      <c r="V31" s="2"/>
    </row>
    <row r="32" spans="1:22" x14ac:dyDescent="0.2">
      <c r="A32" t="s">
        <v>194</v>
      </c>
      <c r="B32" s="45" t="s">
        <v>205</v>
      </c>
      <c r="C32" s="45" t="s">
        <v>113</v>
      </c>
      <c r="D32" s="45"/>
      <c r="E32" s="45">
        <v>250</v>
      </c>
      <c r="F32" s="38">
        <f t="shared" si="5"/>
        <v>91</v>
      </c>
      <c r="G32" s="38">
        <v>195</v>
      </c>
      <c r="H32" s="38">
        <v>195</v>
      </c>
      <c r="I32" s="38">
        <v>195</v>
      </c>
      <c r="J32" s="38">
        <v>0</v>
      </c>
      <c r="K32" s="38">
        <v>0</v>
      </c>
      <c r="L32" s="38">
        <v>0</v>
      </c>
      <c r="M32" s="38">
        <v>255</v>
      </c>
      <c r="N32" s="38">
        <v>0</v>
      </c>
      <c r="O32" s="38">
        <v>255</v>
      </c>
      <c r="P32" s="38">
        <v>0</v>
      </c>
      <c r="Q32" s="38">
        <v>0</v>
      </c>
      <c r="R32" s="38">
        <v>0</v>
      </c>
      <c r="S32" s="2"/>
      <c r="T32" s="2"/>
      <c r="U32" s="2"/>
      <c r="V32" s="2"/>
    </row>
    <row r="33" spans="1:22" x14ac:dyDescent="0.2">
      <c r="A33" t="s">
        <v>194</v>
      </c>
      <c r="B33" s="88" t="s">
        <v>219</v>
      </c>
      <c r="C33" s="45" t="s">
        <v>113</v>
      </c>
      <c r="D33" s="45"/>
      <c r="E33" s="45">
        <v>178</v>
      </c>
      <c r="F33" s="38">
        <f t="shared" si="5"/>
        <v>155</v>
      </c>
      <c r="G33" s="38">
        <f t="shared" ref="G33:Q33" si="6">70+99</f>
        <v>169</v>
      </c>
      <c r="H33" s="38">
        <f t="shared" si="6"/>
        <v>169</v>
      </c>
      <c r="I33" s="38">
        <f t="shared" si="6"/>
        <v>169</v>
      </c>
      <c r="J33" s="38">
        <f t="shared" si="6"/>
        <v>169</v>
      </c>
      <c r="K33" s="38">
        <f t="shared" si="6"/>
        <v>169</v>
      </c>
      <c r="L33" s="38">
        <f t="shared" si="6"/>
        <v>169</v>
      </c>
      <c r="M33" s="38">
        <f t="shared" si="6"/>
        <v>169</v>
      </c>
      <c r="N33" s="38">
        <f t="shared" si="6"/>
        <v>169</v>
      </c>
      <c r="O33" s="38">
        <f t="shared" si="6"/>
        <v>169</v>
      </c>
      <c r="P33" s="38">
        <f t="shared" si="6"/>
        <v>169</v>
      </c>
      <c r="Q33" s="38">
        <f t="shared" si="6"/>
        <v>169</v>
      </c>
      <c r="R33" s="38">
        <v>0</v>
      </c>
      <c r="S33" s="2"/>
      <c r="T33" s="2"/>
      <c r="U33" s="2"/>
      <c r="V33" s="2"/>
    </row>
    <row r="34" spans="1:22" x14ac:dyDescent="0.2">
      <c r="A34" t="s">
        <v>3</v>
      </c>
      <c r="B34" s="45" t="s">
        <v>34</v>
      </c>
      <c r="C34" s="45" t="s">
        <v>116</v>
      </c>
      <c r="D34" s="45"/>
      <c r="E34" s="45">
        <v>100</v>
      </c>
      <c r="F34" s="38">
        <f t="shared" si="5"/>
        <v>100</v>
      </c>
      <c r="G34" s="38">
        <v>100</v>
      </c>
      <c r="H34" s="38">
        <v>100</v>
      </c>
      <c r="I34" s="38">
        <v>100</v>
      </c>
      <c r="J34" s="38">
        <v>100</v>
      </c>
      <c r="K34" s="38">
        <v>100</v>
      </c>
      <c r="L34" s="38">
        <v>100</v>
      </c>
      <c r="M34" s="38">
        <v>100</v>
      </c>
      <c r="N34" s="38">
        <v>100</v>
      </c>
      <c r="O34" s="38">
        <v>100</v>
      </c>
      <c r="P34" s="38">
        <v>100</v>
      </c>
      <c r="Q34" s="38">
        <v>100</v>
      </c>
      <c r="R34" s="38">
        <v>100</v>
      </c>
      <c r="S34" s="2"/>
      <c r="T34" s="2"/>
      <c r="U34" s="2"/>
      <c r="V34" s="2"/>
    </row>
    <row r="35" spans="1:22" x14ac:dyDescent="0.2">
      <c r="A35" t="s">
        <v>3</v>
      </c>
      <c r="B35" s="52" t="s">
        <v>25</v>
      </c>
      <c r="C35" s="45" t="s">
        <v>116</v>
      </c>
      <c r="D35" s="45"/>
      <c r="E35" s="52">
        <v>320</v>
      </c>
      <c r="F35" s="52">
        <f t="shared" si="5"/>
        <v>383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f>580</f>
        <v>580</v>
      </c>
      <c r="P35" s="38">
        <f>841+1870</f>
        <v>2711</v>
      </c>
      <c r="Q35" s="38">
        <f>1310</f>
        <v>1310</v>
      </c>
      <c r="R35" s="38">
        <v>0</v>
      </c>
      <c r="S35" s="2"/>
      <c r="T35" s="2"/>
      <c r="U35" s="2"/>
      <c r="V35" s="2"/>
    </row>
    <row r="36" spans="1:22" x14ac:dyDescent="0.2">
      <c r="A36" t="s">
        <v>3</v>
      </c>
      <c r="B36" s="45" t="s">
        <v>52</v>
      </c>
      <c r="C36" s="45" t="s">
        <v>116</v>
      </c>
      <c r="D36" s="45"/>
      <c r="E36" s="45">
        <v>2000</v>
      </c>
      <c r="F36" s="38">
        <f t="shared" si="5"/>
        <v>1992</v>
      </c>
      <c r="G36" s="38">
        <f t="shared" ref="G36:R36" si="7">996*2</f>
        <v>1992</v>
      </c>
      <c r="H36" s="38">
        <f t="shared" si="7"/>
        <v>1992</v>
      </c>
      <c r="I36" s="38">
        <f t="shared" si="7"/>
        <v>1992</v>
      </c>
      <c r="J36" s="38">
        <f t="shared" si="7"/>
        <v>1992</v>
      </c>
      <c r="K36" s="38">
        <f t="shared" si="7"/>
        <v>1992</v>
      </c>
      <c r="L36" s="38">
        <f t="shared" si="7"/>
        <v>1992</v>
      </c>
      <c r="M36" s="38">
        <f t="shared" si="7"/>
        <v>1992</v>
      </c>
      <c r="N36" s="38">
        <f t="shared" si="7"/>
        <v>1992</v>
      </c>
      <c r="O36" s="38">
        <f t="shared" si="7"/>
        <v>1992</v>
      </c>
      <c r="P36" s="38">
        <f t="shared" si="7"/>
        <v>1992</v>
      </c>
      <c r="Q36" s="38">
        <f t="shared" si="7"/>
        <v>1992</v>
      </c>
      <c r="R36" s="38">
        <f t="shared" si="7"/>
        <v>1992</v>
      </c>
      <c r="S36" s="2"/>
      <c r="T36" s="2"/>
      <c r="U36" s="2"/>
      <c r="V36" s="2"/>
    </row>
    <row r="37" spans="1:22" x14ac:dyDescent="0.2">
      <c r="A37" t="s">
        <v>3</v>
      </c>
      <c r="B37" s="45" t="s">
        <v>189</v>
      </c>
      <c r="C37" s="45" t="s">
        <v>116</v>
      </c>
      <c r="D37" s="45"/>
      <c r="E37" s="45">
        <v>200</v>
      </c>
      <c r="F37" s="38">
        <f t="shared" si="5"/>
        <v>233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f>921</f>
        <v>921</v>
      </c>
      <c r="N37" s="38">
        <v>0</v>
      </c>
      <c r="O37" s="38">
        <v>0</v>
      </c>
      <c r="P37" s="38">
        <v>0</v>
      </c>
      <c r="Q37" s="38">
        <f>1869</f>
        <v>1869</v>
      </c>
      <c r="R37" s="38">
        <v>0</v>
      </c>
      <c r="S37" s="2"/>
      <c r="T37" s="2"/>
      <c r="U37" s="2"/>
      <c r="V37" s="2"/>
    </row>
    <row r="38" spans="1:22" x14ac:dyDescent="0.2">
      <c r="A38" s="2" t="s">
        <v>27</v>
      </c>
      <c r="B38" s="88" t="s">
        <v>27</v>
      </c>
      <c r="C38" s="2" t="s">
        <v>27</v>
      </c>
      <c r="D38" s="2"/>
      <c r="E38" s="25">
        <v>9000</v>
      </c>
      <c r="F38" s="38">
        <f t="shared" si="5"/>
        <v>7092</v>
      </c>
      <c r="G38" s="38">
        <f>76+140+147+1287+647+2665+710+929+1899+99+72+243+75+165+54+40+300+834+67+79+57+116+1306+199+180+190+79+190+85+90+190</f>
        <v>13210</v>
      </c>
      <c r="H38" s="38">
        <f>1231+1292+212+1279+130+124+250+100+76+83+67+190+1150+165+67+190+469+600+330+65+653+67</f>
        <v>8790</v>
      </c>
      <c r="I38" s="38">
        <f>1090+440+811+1011+778+74+75+956+165+63+92+96+65+190+75+89+190+161</f>
        <v>6421</v>
      </c>
      <c r="J38" s="38">
        <f>1211+44+884+660+503+394+847+190+62+83+225+150+161+660+169+444+504+190+1097+90</f>
        <v>8568</v>
      </c>
      <c r="K38" s="38">
        <f>1876+330+136+68+1251+74+649+180+211+1167+48+33+146+100+190+199+165+65+65+1333+425+288+68+85+65+190+112</f>
        <v>9519</v>
      </c>
      <c r="L38" s="38">
        <f>795+1383+68+901+458+866+190+126+107+55+377+68+60+68+65+49+63+63+305+190+75+99+75+81+65+580+26+52+45+75</f>
        <v>7430</v>
      </c>
      <c r="M38" s="38">
        <f>188+250+69+411+24+162+158+2632+59+763+204+145+163+529+779+117+71+142+160+306+171+160+29+120+100</f>
        <v>7912</v>
      </c>
      <c r="N38" s="38">
        <f>246+170+229+93+1084+246+60+2257+763+296+250+1106+299+396+1005+125+1392+796+190+24+253+80+160+161+169+80+131+160+300+90+190+81+396+95+118+80+95</f>
        <v>13666</v>
      </c>
      <c r="O38" s="38">
        <f>448+1504+66+108+136+1261+1055+1760+76+190+755+769+165+70+70+403+190+72+76+165+80+165</f>
        <v>9584</v>
      </c>
      <c r="P38" s="38">
        <v>0</v>
      </c>
      <c r="Q38" s="38">
        <v>0</v>
      </c>
      <c r="R38" s="38">
        <v>0</v>
      </c>
      <c r="S38" s="2"/>
      <c r="T38" s="2"/>
      <c r="U38" s="2"/>
      <c r="V38" s="2"/>
    </row>
    <row r="39" spans="1:22" x14ac:dyDescent="0.2">
      <c r="A39" s="2" t="s">
        <v>3</v>
      </c>
      <c r="B39" s="2" t="s">
        <v>222</v>
      </c>
      <c r="C39" s="38" t="s">
        <v>222</v>
      </c>
      <c r="D39" s="38"/>
      <c r="E39" s="25">
        <v>0</v>
      </c>
      <c r="F39" s="38">
        <f t="shared" si="5"/>
        <v>0</v>
      </c>
      <c r="G39" s="38">
        <v>0</v>
      </c>
      <c r="H39" s="38">
        <v>0</v>
      </c>
      <c r="I39" s="38">
        <v>0</v>
      </c>
      <c r="J39" s="38">
        <v>0</v>
      </c>
      <c r="K39" s="38">
        <v>0</v>
      </c>
      <c r="L39" s="38">
        <v>0</v>
      </c>
      <c r="M39" s="38">
        <v>0</v>
      </c>
      <c r="N39" s="38">
        <v>0</v>
      </c>
      <c r="O39" s="38">
        <v>0</v>
      </c>
      <c r="P39" s="38">
        <v>0</v>
      </c>
      <c r="Q39" s="38">
        <v>0</v>
      </c>
      <c r="R39" s="38">
        <v>0</v>
      </c>
      <c r="S39" s="2"/>
      <c r="T39" s="2"/>
      <c r="U39" s="2"/>
      <c r="V39" s="2"/>
    </row>
    <row r="40" spans="1:22" x14ac:dyDescent="0.2">
      <c r="A40" s="2" t="s">
        <v>3</v>
      </c>
      <c r="B40" s="88" t="s">
        <v>165</v>
      </c>
      <c r="C40" s="2" t="s">
        <v>171</v>
      </c>
      <c r="D40" s="2"/>
      <c r="E40" s="25">
        <v>167</v>
      </c>
      <c r="F40" s="38">
        <f t="shared" si="5"/>
        <v>0</v>
      </c>
      <c r="G40" s="38">
        <v>0</v>
      </c>
      <c r="H40" s="38">
        <v>0</v>
      </c>
      <c r="I40" s="38">
        <v>0</v>
      </c>
      <c r="J40" s="38">
        <v>0</v>
      </c>
      <c r="K40" s="38">
        <v>0</v>
      </c>
      <c r="L40" s="38">
        <v>0</v>
      </c>
      <c r="M40" s="38">
        <v>0</v>
      </c>
      <c r="N40" s="38">
        <v>0</v>
      </c>
      <c r="O40" s="38">
        <v>0</v>
      </c>
      <c r="P40" s="38">
        <v>0</v>
      </c>
      <c r="Q40" s="38">
        <v>0</v>
      </c>
      <c r="R40" s="38">
        <v>0</v>
      </c>
      <c r="S40" s="11"/>
      <c r="T40" s="11"/>
      <c r="U40" s="11"/>
      <c r="V40" s="2"/>
    </row>
    <row r="41" spans="1:22" x14ac:dyDescent="0.2">
      <c r="A41" s="2" t="s">
        <v>3</v>
      </c>
      <c r="B41" s="2" t="s">
        <v>77</v>
      </c>
      <c r="C41" s="2" t="s">
        <v>171</v>
      </c>
      <c r="D41" s="2"/>
      <c r="E41" s="25">
        <v>0</v>
      </c>
      <c r="F41" s="38">
        <f t="shared" si="5"/>
        <v>807</v>
      </c>
      <c r="G41" s="38">
        <v>0</v>
      </c>
      <c r="H41" s="38">
        <v>4510</v>
      </c>
      <c r="I41" s="38">
        <v>1578</v>
      </c>
      <c r="J41" s="38">
        <v>999</v>
      </c>
      <c r="K41" s="38">
        <v>0</v>
      </c>
      <c r="L41" s="38">
        <v>0</v>
      </c>
      <c r="M41" s="38">
        <v>0</v>
      </c>
      <c r="N41" s="38">
        <v>0</v>
      </c>
      <c r="O41" s="38">
        <v>0</v>
      </c>
      <c r="P41" s="38">
        <f>2600</f>
        <v>2600</v>
      </c>
      <c r="Q41" s="38">
        <v>0</v>
      </c>
      <c r="R41" s="38">
        <v>0</v>
      </c>
      <c r="S41" s="2"/>
      <c r="T41" s="2"/>
      <c r="U41" s="2"/>
      <c r="V41" s="2"/>
    </row>
    <row r="42" spans="1:22" x14ac:dyDescent="0.2">
      <c r="A42" s="2" t="s">
        <v>3</v>
      </c>
      <c r="B42" s="52" t="s">
        <v>3</v>
      </c>
      <c r="C42" s="2" t="s">
        <v>3</v>
      </c>
      <c r="D42" s="2"/>
      <c r="E42" s="25">
        <v>0</v>
      </c>
      <c r="F42" s="38">
        <f t="shared" si="5"/>
        <v>1981</v>
      </c>
      <c r="G42" s="38">
        <f>78+300</f>
        <v>378</v>
      </c>
      <c r="H42" s="38">
        <f>400+340+1710</f>
        <v>2450</v>
      </c>
      <c r="I42" s="38">
        <f>700</f>
        <v>700</v>
      </c>
      <c r="J42" s="38">
        <v>3000</v>
      </c>
      <c r="K42" s="38">
        <v>0</v>
      </c>
      <c r="L42" s="38">
        <f>625+1400</f>
        <v>2025</v>
      </c>
      <c r="M42" s="38">
        <f>1300+197</f>
        <v>1497</v>
      </c>
      <c r="N42" s="38">
        <f>460</f>
        <v>460</v>
      </c>
      <c r="O42">
        <f>199+358+159+400</f>
        <v>1116</v>
      </c>
      <c r="P42" s="38">
        <f>800+325+200+834+813+157</f>
        <v>3129</v>
      </c>
      <c r="Q42" s="38">
        <f>550+800+325</f>
        <v>1675</v>
      </c>
      <c r="R42" s="38">
        <f>1707+5400+239</f>
        <v>7346</v>
      </c>
      <c r="S42" s="2"/>
      <c r="T42" s="2"/>
      <c r="U42" s="2"/>
      <c r="V42" s="2"/>
    </row>
    <row r="43" spans="1:22" x14ac:dyDescent="0.2">
      <c r="A43" s="2"/>
      <c r="B43" s="52"/>
      <c r="C43" s="38" t="s">
        <v>314</v>
      </c>
      <c r="D43" s="2"/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8">
        <v>0</v>
      </c>
      <c r="Q43" s="38">
        <v>0</v>
      </c>
      <c r="R43" s="38">
        <v>6485</v>
      </c>
      <c r="S43" s="2"/>
      <c r="T43" s="2"/>
      <c r="U43" s="2"/>
      <c r="V43" s="2"/>
    </row>
    <row r="44" spans="1:22" x14ac:dyDescent="0.2">
      <c r="A44" s="2" t="s">
        <v>3</v>
      </c>
      <c r="B44" s="45" t="s">
        <v>236</v>
      </c>
      <c r="C44" s="2" t="s">
        <v>97</v>
      </c>
      <c r="D44" s="2"/>
      <c r="E44" s="25">
        <v>1000</v>
      </c>
      <c r="F44" s="38">
        <f t="shared" si="5"/>
        <v>1000</v>
      </c>
      <c r="G44" s="38">
        <v>1000</v>
      </c>
      <c r="H44" s="38">
        <v>1000</v>
      </c>
      <c r="I44" s="38">
        <v>1000</v>
      </c>
      <c r="J44" s="38">
        <v>1000</v>
      </c>
      <c r="K44" s="38">
        <v>1000</v>
      </c>
      <c r="L44" s="38">
        <v>1000</v>
      </c>
      <c r="M44" s="38">
        <v>1000</v>
      </c>
      <c r="N44" s="38">
        <v>1000</v>
      </c>
      <c r="O44" s="38">
        <v>1000</v>
      </c>
      <c r="P44" s="38">
        <v>1000</v>
      </c>
      <c r="Q44" s="38">
        <v>1000</v>
      </c>
      <c r="R44" s="38">
        <v>1000</v>
      </c>
      <c r="S44" s="2"/>
      <c r="T44" s="2"/>
      <c r="U44" s="2"/>
      <c r="V44" s="2"/>
    </row>
    <row r="45" spans="1:22" x14ac:dyDescent="0.2">
      <c r="A45" s="2" t="s">
        <v>3</v>
      </c>
      <c r="B45" s="45" t="s">
        <v>235</v>
      </c>
      <c r="C45" s="2" t="s">
        <v>97</v>
      </c>
      <c r="D45" s="2"/>
      <c r="E45" s="25">
        <v>0</v>
      </c>
      <c r="F45" s="38">
        <f t="shared" si="5"/>
        <v>671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2000</v>
      </c>
      <c r="N45" s="38">
        <v>0</v>
      </c>
      <c r="O45" s="38">
        <v>0</v>
      </c>
      <c r="P45" s="38">
        <v>4557</v>
      </c>
      <c r="Q45" s="38">
        <v>0</v>
      </c>
      <c r="R45" s="38">
        <f>1500</f>
        <v>1500</v>
      </c>
      <c r="S45" s="2"/>
      <c r="T45" s="2"/>
      <c r="U45" s="2"/>
      <c r="V45" s="2"/>
    </row>
    <row r="46" spans="1:22" x14ac:dyDescent="0.2">
      <c r="A46" s="2" t="s">
        <v>3</v>
      </c>
      <c r="B46" s="45" t="s">
        <v>308</v>
      </c>
      <c r="C46" s="2" t="s">
        <v>3</v>
      </c>
      <c r="D46" s="2"/>
      <c r="E46" s="25">
        <v>0</v>
      </c>
      <c r="F46" s="38">
        <f t="shared" ref="F46" si="8">ROUND(SUM(G46:R46)/No_months1,0)</f>
        <v>271</v>
      </c>
      <c r="G46" s="38">
        <v>0</v>
      </c>
      <c r="H46" s="38">
        <v>0</v>
      </c>
      <c r="I46" s="38">
        <v>0</v>
      </c>
      <c r="J46" s="38">
        <v>0</v>
      </c>
      <c r="K46" s="38">
        <v>0</v>
      </c>
      <c r="L46" s="38">
        <v>0</v>
      </c>
      <c r="M46" s="38">
        <v>0</v>
      </c>
      <c r="N46" s="38">
        <v>0</v>
      </c>
      <c r="O46" s="38">
        <f>150+150+150</f>
        <v>450</v>
      </c>
      <c r="P46" s="38">
        <f>150+210+210</f>
        <v>570</v>
      </c>
      <c r="Q46" s="38">
        <f>210+210</f>
        <v>420</v>
      </c>
      <c r="R46" s="38">
        <f>392+392+210+243+150+210+210</f>
        <v>1807</v>
      </c>
      <c r="S46" s="2"/>
      <c r="T46" s="2"/>
      <c r="U46" s="2"/>
      <c r="V46" s="2"/>
    </row>
    <row r="47" spans="1:22" x14ac:dyDescent="0.2">
      <c r="A47" s="2" t="s">
        <v>3</v>
      </c>
      <c r="B47" s="88" t="s">
        <v>223</v>
      </c>
      <c r="C47" s="2" t="s">
        <v>117</v>
      </c>
      <c r="D47" s="2"/>
      <c r="E47" s="25">
        <v>8000</v>
      </c>
      <c r="F47" s="38">
        <f t="shared" si="5"/>
        <v>26007</v>
      </c>
      <c r="G47" s="38">
        <f t="shared" ref="G47:N47" si="9">G48-G23-G26-G31-G33-G38-G40</f>
        <v>52638</v>
      </c>
      <c r="H47" s="38">
        <f t="shared" si="9"/>
        <v>33858</v>
      </c>
      <c r="I47" s="38">
        <f t="shared" si="9"/>
        <v>19953</v>
      </c>
      <c r="J47" s="38">
        <f t="shared" si="9"/>
        <v>18672</v>
      </c>
      <c r="K47" s="38">
        <f t="shared" si="9"/>
        <v>29979</v>
      </c>
      <c r="L47" s="38">
        <f t="shared" si="9"/>
        <v>18126</v>
      </c>
      <c r="M47" s="38">
        <f t="shared" si="9"/>
        <v>32230</v>
      </c>
      <c r="N47" s="38">
        <f t="shared" si="9"/>
        <v>23484</v>
      </c>
      <c r="O47" s="38">
        <f>O48-O23-O26-O31-O33-O38-O40+2854</f>
        <v>7203</v>
      </c>
      <c r="P47" s="38">
        <f>P48-P23-P26-P31-P33-P38-P40</f>
        <v>18134</v>
      </c>
      <c r="Q47" s="38">
        <f>Q48-Q23-Q26-Q31-Q33-Q38-Q40</f>
        <v>26461</v>
      </c>
      <c r="R47" s="38">
        <f>R48-R23-R26-R31-R33-R38-R40</f>
        <v>31343</v>
      </c>
      <c r="S47" s="2"/>
      <c r="T47" s="2"/>
      <c r="U47" s="2"/>
      <c r="V47" s="2"/>
    </row>
    <row r="48" spans="1:22" x14ac:dyDescent="0.2">
      <c r="A48" s="2"/>
      <c r="B48" s="88" t="s">
        <v>307</v>
      </c>
      <c r="C48" s="2"/>
      <c r="D48" s="2"/>
      <c r="E48" s="25"/>
      <c r="F48" s="38">
        <f t="shared" si="5"/>
        <v>36718</v>
      </c>
      <c r="G48" s="38">
        <v>68364</v>
      </c>
      <c r="H48" s="38">
        <v>43678</v>
      </c>
      <c r="I48" s="38">
        <v>27991</v>
      </c>
      <c r="J48" s="38">
        <v>27409</v>
      </c>
      <c r="K48" s="38">
        <v>41602</v>
      </c>
      <c r="L48" s="38">
        <v>30185</v>
      </c>
      <c r="M48" s="38">
        <v>46535</v>
      </c>
      <c r="N48" s="38">
        <v>42612</v>
      </c>
      <c r="O48" s="38">
        <v>21288</v>
      </c>
      <c r="P48" s="38">
        <v>29572</v>
      </c>
      <c r="Q48" s="38">
        <v>29780</v>
      </c>
      <c r="R48" s="38">
        <v>31598</v>
      </c>
      <c r="S48" s="2"/>
      <c r="T48" s="2"/>
      <c r="U48" s="2"/>
      <c r="V48" s="2"/>
    </row>
    <row r="49" spans="1:22" x14ac:dyDescent="0.2">
      <c r="A49" s="51" t="s">
        <v>111</v>
      </c>
      <c r="B49" s="45" t="s">
        <v>229</v>
      </c>
      <c r="C49" s="45" t="s">
        <v>111</v>
      </c>
      <c r="D49" s="45"/>
      <c r="E49" s="45">
        <v>2000</v>
      </c>
      <c r="F49" s="38">
        <f t="shared" si="5"/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8">
        <v>0</v>
      </c>
      <c r="Q49" s="38">
        <v>0</v>
      </c>
      <c r="R49" s="38">
        <v>0</v>
      </c>
      <c r="S49" s="2"/>
      <c r="T49" s="2"/>
      <c r="U49" s="2"/>
      <c r="V49" s="38" t="s">
        <v>46</v>
      </c>
    </row>
    <row r="50" spans="1:22" x14ac:dyDescent="0.2">
      <c r="A50" s="51" t="s">
        <v>111</v>
      </c>
      <c r="B50" s="45" t="s">
        <v>230</v>
      </c>
      <c r="C50" s="45" t="s">
        <v>111</v>
      </c>
      <c r="D50" s="45"/>
      <c r="E50" s="45">
        <v>4000</v>
      </c>
      <c r="F50" s="38">
        <f t="shared" si="5"/>
        <v>0</v>
      </c>
      <c r="G50" s="38">
        <v>0</v>
      </c>
      <c r="H50" s="38">
        <v>0</v>
      </c>
      <c r="I50" s="38">
        <v>0</v>
      </c>
      <c r="J50" s="38">
        <v>0</v>
      </c>
      <c r="K50" s="38">
        <v>0</v>
      </c>
      <c r="L50" s="38">
        <v>0</v>
      </c>
      <c r="M50" s="38">
        <v>0</v>
      </c>
      <c r="N50" s="38">
        <v>0</v>
      </c>
      <c r="O50" s="38">
        <v>0</v>
      </c>
      <c r="P50" s="38">
        <v>0</v>
      </c>
      <c r="Q50" s="38">
        <v>0</v>
      </c>
      <c r="R50" s="38">
        <v>0</v>
      </c>
      <c r="S50" s="2"/>
      <c r="T50" s="2"/>
      <c r="U50" s="2"/>
      <c r="V50" s="2"/>
    </row>
    <row r="51" spans="1:22" x14ac:dyDescent="0.2">
      <c r="A51" s="51"/>
      <c r="B51" s="45"/>
      <c r="C51" s="45"/>
      <c r="D51" s="45"/>
      <c r="E51" s="45"/>
      <c r="F51" s="38" t="s">
        <v>46</v>
      </c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2"/>
      <c r="T51" s="2"/>
      <c r="U51" s="2"/>
      <c r="V51" s="2"/>
    </row>
    <row r="52" spans="1:22" x14ac:dyDescent="0.2">
      <c r="A52" s="72" t="s">
        <v>261</v>
      </c>
      <c r="B52" s="73" t="s">
        <v>228</v>
      </c>
      <c r="C52" s="73" t="s">
        <v>262</v>
      </c>
      <c r="D52" s="73"/>
      <c r="E52" s="73">
        <v>1956</v>
      </c>
      <c r="F52" s="38">
        <f t="shared" ref="F52:F57" si="10">ROUND(SUM(G52:R52)/No_months1,0)</f>
        <v>2229</v>
      </c>
      <c r="G52" s="74">
        <v>639</v>
      </c>
      <c r="H52" s="74">
        <v>0</v>
      </c>
      <c r="I52" s="74">
        <v>2611</v>
      </c>
      <c r="J52" s="74">
        <v>2611</v>
      </c>
      <c r="K52" s="74">
        <v>2611</v>
      </c>
      <c r="L52" s="74">
        <v>2611</v>
      </c>
      <c r="M52" s="74">
        <v>2611</v>
      </c>
      <c r="N52" s="74">
        <v>2611</v>
      </c>
      <c r="O52" s="74">
        <v>2611</v>
      </c>
      <c r="P52" s="74">
        <v>2611</v>
      </c>
      <c r="Q52" s="74">
        <v>2611</v>
      </c>
      <c r="R52" s="74">
        <v>2611</v>
      </c>
      <c r="S52" s="2"/>
      <c r="T52" s="2"/>
      <c r="U52" s="2"/>
      <c r="V52" s="2"/>
    </row>
    <row r="53" spans="1:22" x14ac:dyDescent="0.2">
      <c r="A53" s="72" t="s">
        <v>261</v>
      </c>
      <c r="B53" s="73" t="s">
        <v>227</v>
      </c>
      <c r="C53" s="73" t="s">
        <v>262</v>
      </c>
      <c r="D53" s="73"/>
      <c r="E53" s="73">
        <v>2527</v>
      </c>
      <c r="F53" s="38">
        <f t="shared" si="10"/>
        <v>2745</v>
      </c>
      <c r="G53" s="74">
        <v>835</v>
      </c>
      <c r="H53" s="74">
        <v>0</v>
      </c>
      <c r="I53" s="74">
        <f>11971-I52</f>
        <v>9360</v>
      </c>
      <c r="J53" s="74">
        <v>2540</v>
      </c>
      <c r="K53" s="74">
        <v>2536</v>
      </c>
      <c r="L53" s="74">
        <v>2533</v>
      </c>
      <c r="M53" s="74">
        <v>2530</v>
      </c>
      <c r="N53" s="74">
        <v>2527</v>
      </c>
      <c r="O53" s="74">
        <v>2524</v>
      </c>
      <c r="P53" s="74">
        <v>2524</v>
      </c>
      <c r="Q53" s="74">
        <v>2517</v>
      </c>
      <c r="R53" s="74">
        <v>2514</v>
      </c>
      <c r="S53" s="2"/>
      <c r="T53" s="2"/>
      <c r="U53" s="2"/>
      <c r="V53" s="2"/>
    </row>
    <row r="54" spans="1:22" x14ac:dyDescent="0.2">
      <c r="A54" s="72" t="s">
        <v>261</v>
      </c>
      <c r="B54" s="73" t="s">
        <v>195</v>
      </c>
      <c r="C54" s="73" t="s">
        <v>262</v>
      </c>
      <c r="D54" s="73"/>
      <c r="E54" s="73">
        <v>230</v>
      </c>
      <c r="F54" s="38">
        <f t="shared" si="10"/>
        <v>131</v>
      </c>
      <c r="G54" s="74">
        <v>0</v>
      </c>
      <c r="H54" s="74">
        <v>0</v>
      </c>
      <c r="I54" s="74">
        <v>107</v>
      </c>
      <c r="J54" s="74">
        <v>229</v>
      </c>
      <c r="K54" s="74">
        <v>229</v>
      </c>
      <c r="L54" s="74">
        <v>0</v>
      </c>
      <c r="M54" s="74">
        <f>220+323</f>
        <v>543</v>
      </c>
      <c r="N54" s="74">
        <v>0</v>
      </c>
      <c r="O54" s="74">
        <v>208</v>
      </c>
      <c r="P54" s="74">
        <v>0</v>
      </c>
      <c r="Q54" s="74">
        <v>258</v>
      </c>
      <c r="R54" s="74">
        <v>0</v>
      </c>
      <c r="S54" s="2"/>
      <c r="T54" s="2"/>
      <c r="U54" s="2"/>
      <c r="V54" s="2"/>
    </row>
    <row r="55" spans="1:22" x14ac:dyDescent="0.2">
      <c r="A55" s="72" t="s">
        <v>261</v>
      </c>
      <c r="B55" s="73" t="s">
        <v>120</v>
      </c>
      <c r="C55" s="73" t="s">
        <v>262</v>
      </c>
      <c r="D55" s="73"/>
      <c r="E55" s="73">
        <v>150</v>
      </c>
      <c r="F55" s="38">
        <f t="shared" si="10"/>
        <v>141</v>
      </c>
      <c r="G55" s="74">
        <v>1696</v>
      </c>
      <c r="H55" s="74">
        <v>0</v>
      </c>
      <c r="I55" s="74">
        <v>0</v>
      </c>
      <c r="J55" s="74">
        <v>0</v>
      </c>
      <c r="K55" s="74">
        <v>0</v>
      </c>
      <c r="L55" s="74">
        <v>0</v>
      </c>
      <c r="M55" s="74">
        <v>0</v>
      </c>
      <c r="N55" s="74">
        <v>0</v>
      </c>
      <c r="O55" s="74">
        <v>0</v>
      </c>
      <c r="P55" s="74">
        <v>0</v>
      </c>
      <c r="Q55" s="74">
        <v>0</v>
      </c>
      <c r="R55" s="74">
        <v>0</v>
      </c>
      <c r="S55" s="2"/>
      <c r="T55" s="2"/>
      <c r="U55" s="2"/>
      <c r="V55" s="2"/>
    </row>
    <row r="56" spans="1:22" x14ac:dyDescent="0.2">
      <c r="A56" s="72" t="s">
        <v>261</v>
      </c>
      <c r="B56" s="73" t="s">
        <v>263</v>
      </c>
      <c r="C56" s="73" t="s">
        <v>262</v>
      </c>
      <c r="D56" s="73"/>
      <c r="E56" s="73">
        <v>3742</v>
      </c>
      <c r="F56" s="38">
        <f t="shared" si="10"/>
        <v>3470</v>
      </c>
      <c r="G56" s="74">
        <v>0</v>
      </c>
      <c r="H56" s="74">
        <v>3742</v>
      </c>
      <c r="I56" s="74">
        <v>4185</v>
      </c>
      <c r="J56" s="74">
        <v>3742</v>
      </c>
      <c r="K56" s="74">
        <v>3742</v>
      </c>
      <c r="L56" s="74">
        <v>3742</v>
      </c>
      <c r="M56" s="74">
        <v>3742</v>
      </c>
      <c r="N56" s="74">
        <v>3742</v>
      </c>
      <c r="O56" s="74">
        <v>3742</v>
      </c>
      <c r="P56" s="74">
        <v>3742</v>
      </c>
      <c r="Q56" s="74">
        <v>3742</v>
      </c>
      <c r="R56" s="74">
        <v>3776</v>
      </c>
      <c r="S56" s="2"/>
      <c r="T56" s="2"/>
      <c r="U56" s="2"/>
      <c r="V56" s="2"/>
    </row>
    <row r="57" spans="1:22" x14ac:dyDescent="0.2">
      <c r="A57" s="72" t="s">
        <v>261</v>
      </c>
      <c r="B57" s="74" t="s">
        <v>3</v>
      </c>
      <c r="C57" s="73" t="s">
        <v>262</v>
      </c>
      <c r="D57" s="73"/>
      <c r="E57" s="73"/>
      <c r="F57" s="38">
        <f t="shared" si="10"/>
        <v>250</v>
      </c>
      <c r="G57" s="74">
        <v>0</v>
      </c>
      <c r="H57" s="74">
        <v>0</v>
      </c>
      <c r="I57" s="74">
        <v>0</v>
      </c>
      <c r="J57" s="74">
        <v>3000</v>
      </c>
      <c r="K57" s="74">
        <v>0</v>
      </c>
      <c r="L57" s="74">
        <v>0</v>
      </c>
      <c r="M57" s="74">
        <v>0</v>
      </c>
      <c r="N57" s="74">
        <v>0</v>
      </c>
      <c r="O57" s="74">
        <v>0</v>
      </c>
      <c r="P57" s="74">
        <v>0</v>
      </c>
      <c r="Q57" s="74">
        <v>0</v>
      </c>
      <c r="R57" s="74">
        <v>0</v>
      </c>
      <c r="S57" s="2"/>
      <c r="T57" s="2"/>
      <c r="U57" s="2"/>
      <c r="V57" s="2"/>
    </row>
    <row r="58" spans="1:22" x14ac:dyDescent="0.2">
      <c r="A58" s="89" t="s">
        <v>306</v>
      </c>
      <c r="B58" s="90"/>
      <c r="C58" s="90"/>
      <c r="D58" s="90"/>
      <c r="E58" s="90">
        <f>SUM(E52:E57)</f>
        <v>8605</v>
      </c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2"/>
      <c r="T58" s="2"/>
      <c r="U58" s="2"/>
      <c r="V58" s="2"/>
    </row>
    <row r="59" spans="1:22" x14ac:dyDescent="0.2">
      <c r="B59" s="4" t="s">
        <v>224</v>
      </c>
      <c r="C59" s="11"/>
      <c r="D59" s="11"/>
      <c r="E59" s="52" t="s">
        <v>46</v>
      </c>
      <c r="F59" s="38">
        <f>SUM(F11:F47)</f>
        <v>63306</v>
      </c>
      <c r="G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x14ac:dyDescent="0.2">
      <c r="B60" s="4" t="s">
        <v>225</v>
      </c>
      <c r="C60" s="2"/>
      <c r="D60" s="2"/>
      <c r="E60" s="38" t="s">
        <v>46</v>
      </c>
      <c r="F60" s="38"/>
      <c r="G60" s="2"/>
      <c r="I60" s="2"/>
      <c r="J60" s="2"/>
      <c r="K60" s="2"/>
      <c r="L60" s="2">
        <v>0</v>
      </c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x14ac:dyDescent="0.2">
      <c r="B61" s="38" t="s">
        <v>226</v>
      </c>
      <c r="C61" s="2"/>
      <c r="D61" s="2"/>
      <c r="E61" s="38" t="s">
        <v>46</v>
      </c>
      <c r="F61" s="38"/>
      <c r="G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x14ac:dyDescent="0.2">
      <c r="B62" s="2"/>
      <c r="C62" s="2"/>
      <c r="D62" s="2"/>
      <c r="E62" s="2"/>
      <c r="F62" s="38"/>
      <c r="G62" s="2"/>
      <c r="I62" s="2"/>
      <c r="J62" s="2"/>
      <c r="K62" s="2"/>
      <c r="L62" s="2"/>
      <c r="M62" s="2"/>
      <c r="N62" s="2"/>
      <c r="O62" s="2"/>
      <c r="P62" s="38" t="s">
        <v>46</v>
      </c>
      <c r="Q62" s="2"/>
      <c r="R62" s="2"/>
      <c r="S62" s="2"/>
      <c r="T62" s="2"/>
      <c r="U62" s="2"/>
      <c r="V62" s="2"/>
    </row>
    <row r="63" spans="1:22" x14ac:dyDescent="0.2">
      <c r="B63" s="2"/>
      <c r="C63" s="2"/>
      <c r="D63" s="2"/>
      <c r="E63" s="2"/>
      <c r="F63" s="38"/>
      <c r="G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x14ac:dyDescent="0.2">
      <c r="B64" s="2"/>
      <c r="C64" s="2"/>
      <c r="D64" s="2"/>
      <c r="E64" s="2"/>
      <c r="F64" s="38"/>
      <c r="G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2:22" x14ac:dyDescent="0.2">
      <c r="B65" s="2"/>
      <c r="C65" s="2"/>
      <c r="D65" s="2"/>
      <c r="E65" s="2"/>
      <c r="F65" s="38"/>
      <c r="G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2:22" x14ac:dyDescent="0.2">
      <c r="B66" s="2"/>
      <c r="C66" s="2"/>
      <c r="D66" s="2"/>
      <c r="E66" s="2"/>
      <c r="F66" s="38"/>
      <c r="G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2:22" x14ac:dyDescent="0.2">
      <c r="B67" s="2"/>
      <c r="C67" s="2"/>
      <c r="D67" s="2"/>
      <c r="E67" s="2"/>
      <c r="F67" s="38"/>
      <c r="G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2:22" x14ac:dyDescent="0.2">
      <c r="F68" s="38"/>
    </row>
    <row r="69" spans="2:22" x14ac:dyDescent="0.2">
      <c r="C69" t="s">
        <v>46</v>
      </c>
      <c r="F69" s="38"/>
      <c r="H69"/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1"/>
  <sheetViews>
    <sheetView topLeftCell="A3" workbookViewId="0">
      <selection activeCell="L5" sqref="L5"/>
    </sheetView>
  </sheetViews>
  <sheetFormatPr defaultColWidth="10" defaultRowHeight="12.75" x14ac:dyDescent="0.2"/>
  <cols>
    <col min="1" max="1" width="18.28515625" style="2" customWidth="1"/>
    <col min="2" max="16384" width="10" style="2"/>
  </cols>
  <sheetData>
    <row r="2" spans="1:11" x14ac:dyDescent="0.2">
      <c r="I2" s="2">
        <f>44165*1.026</f>
        <v>45313.29</v>
      </c>
      <c r="K2" s="2" t="s">
        <v>46</v>
      </c>
    </row>
    <row r="3" spans="1:11" x14ac:dyDescent="0.2">
      <c r="B3" s="11" t="s">
        <v>152</v>
      </c>
    </row>
    <row r="4" spans="1:11" ht="3.75" hidden="1" customHeight="1" x14ac:dyDescent="0.2"/>
    <row r="5" spans="1:11" s="11" customFormat="1" x14ac:dyDescent="0.2">
      <c r="B5" s="11" t="s">
        <v>46</v>
      </c>
      <c r="C5" s="11">
        <v>2005</v>
      </c>
      <c r="D5" s="11">
        <v>2006</v>
      </c>
      <c r="E5" s="11">
        <v>2007</v>
      </c>
      <c r="F5" s="11">
        <v>2008</v>
      </c>
      <c r="G5" s="12">
        <v>2009</v>
      </c>
      <c r="H5" s="11">
        <v>2010</v>
      </c>
      <c r="I5" s="11">
        <v>2011</v>
      </c>
      <c r="J5" s="11">
        <v>2012</v>
      </c>
      <c r="K5" s="11">
        <v>2013</v>
      </c>
    </row>
    <row r="6" spans="1:11" x14ac:dyDescent="0.2">
      <c r="A6" s="2" t="s">
        <v>153</v>
      </c>
      <c r="C6" s="2">
        <v>35040</v>
      </c>
      <c r="D6" s="2">
        <v>35740</v>
      </c>
      <c r="E6" s="2">
        <v>40865</v>
      </c>
      <c r="F6" s="2">
        <v>41765</v>
      </c>
      <c r="G6" s="9">
        <v>43165</v>
      </c>
      <c r="H6" s="2">
        <v>44165</v>
      </c>
      <c r="I6" s="2">
        <v>45092</v>
      </c>
      <c r="J6" s="2">
        <v>46692</v>
      </c>
      <c r="K6" s="2">
        <v>48292</v>
      </c>
    </row>
    <row r="7" spans="1:11" x14ac:dyDescent="0.2">
      <c r="A7" s="2" t="s">
        <v>154</v>
      </c>
      <c r="C7" s="2">
        <f>D6-C6</f>
        <v>700</v>
      </c>
      <c r="D7" s="2">
        <f t="shared" ref="D7:K7" si="0">D6-C6</f>
        <v>700</v>
      </c>
      <c r="E7" s="2">
        <f t="shared" si="0"/>
        <v>5125</v>
      </c>
      <c r="F7" s="2">
        <f t="shared" si="0"/>
        <v>900</v>
      </c>
      <c r="G7" s="2">
        <f t="shared" si="0"/>
        <v>1400</v>
      </c>
      <c r="H7" s="2">
        <f t="shared" si="0"/>
        <v>1000</v>
      </c>
      <c r="I7" s="2">
        <f t="shared" si="0"/>
        <v>927</v>
      </c>
      <c r="J7" s="2">
        <f t="shared" si="0"/>
        <v>1600</v>
      </c>
      <c r="K7" s="2">
        <f t="shared" si="0"/>
        <v>1600</v>
      </c>
    </row>
    <row r="8" spans="1:11" x14ac:dyDescent="0.2">
      <c r="C8" s="2">
        <f>B7/C6</f>
        <v>0</v>
      </c>
      <c r="D8" s="2">
        <f t="shared" ref="D8:K8" si="1">D7/C6</f>
        <v>1.9977168949771688E-2</v>
      </c>
      <c r="E8" s="2">
        <f t="shared" si="1"/>
        <v>0.14339675433687746</v>
      </c>
      <c r="F8" s="2">
        <f t="shared" si="1"/>
        <v>2.2023736693992414E-2</v>
      </c>
      <c r="G8" s="2">
        <f t="shared" si="1"/>
        <v>3.3520890697952832E-2</v>
      </c>
      <c r="H8" s="2">
        <f t="shared" si="1"/>
        <v>2.3166917641607783E-2</v>
      </c>
      <c r="I8" s="2">
        <f t="shared" si="1"/>
        <v>2.0989471300803805E-2</v>
      </c>
      <c r="J8" s="2">
        <f t="shared" si="1"/>
        <v>3.548301250776191E-2</v>
      </c>
      <c r="K8" s="61">
        <f t="shared" si="1"/>
        <v>3.4267112139124478E-2</v>
      </c>
    </row>
    <row r="9" spans="1:11" x14ac:dyDescent="0.2">
      <c r="A9" s="2" t="s">
        <v>155</v>
      </c>
      <c r="E9" s="2">
        <v>25582</v>
      </c>
      <c r="F9" s="2">
        <v>26382</v>
      </c>
    </row>
    <row r="10" spans="1:11" x14ac:dyDescent="0.2">
      <c r="A10" s="2" t="s">
        <v>156</v>
      </c>
    </row>
    <row r="14" spans="1:11" x14ac:dyDescent="0.2">
      <c r="G14" s="2">
        <f>F6*0.02</f>
        <v>835.30000000000007</v>
      </c>
    </row>
    <row r="17" spans="1:7" x14ac:dyDescent="0.2">
      <c r="A17" s="2" t="s">
        <v>157</v>
      </c>
      <c r="D17" s="2" t="s">
        <v>46</v>
      </c>
      <c r="F17" s="2">
        <v>2200</v>
      </c>
      <c r="G17" s="2">
        <v>2200</v>
      </c>
    </row>
    <row r="18" spans="1:7" x14ac:dyDescent="0.2">
      <c r="F18" s="2">
        <f>F6-F17</f>
        <v>39565</v>
      </c>
      <c r="G18" s="2">
        <f>G6-G17</f>
        <v>40965</v>
      </c>
    </row>
    <row r="19" spans="1:7" x14ac:dyDescent="0.2">
      <c r="A19" s="2" t="s">
        <v>158</v>
      </c>
      <c r="D19" s="2" t="s">
        <v>46</v>
      </c>
      <c r="F19" s="2">
        <v>303</v>
      </c>
      <c r="G19" s="2">
        <v>303</v>
      </c>
    </row>
    <row r="20" spans="1:7" x14ac:dyDescent="0.2">
      <c r="A20" s="2" t="s">
        <v>159</v>
      </c>
      <c r="F20" s="2">
        <v>13515</v>
      </c>
      <c r="G20" s="2">
        <v>13931</v>
      </c>
    </row>
    <row r="21" spans="1:7" x14ac:dyDescent="0.2">
      <c r="A21" s="2" t="s">
        <v>160</v>
      </c>
      <c r="F21" s="2">
        <f>F6-F19-F20</f>
        <v>27947</v>
      </c>
      <c r="G21" s="2">
        <f>G6-G19-G20</f>
        <v>28931</v>
      </c>
    </row>
  </sheetData>
  <phoneticPr fontId="0" type="noConversion"/>
  <pageMargins left="1.2597222222222222" right="1.2597222222222222" top="0.98472222222222228" bottom="0.98472222222222228" header="0.51180555555555551" footer="0.74791666666666667"/>
  <pageSetup paperSize="9"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37"/>
  <sheetViews>
    <sheetView topLeftCell="A5" workbookViewId="0">
      <selection activeCell="F27" sqref="F27"/>
    </sheetView>
  </sheetViews>
  <sheetFormatPr defaultRowHeight="12.75" x14ac:dyDescent="0.2"/>
  <cols>
    <col min="1" max="1" width="12.42578125" customWidth="1"/>
    <col min="2" max="2" width="32.28515625" customWidth="1"/>
    <col min="4" max="4" width="12.7109375" customWidth="1"/>
    <col min="7" max="7" width="9.140625" customWidth="1"/>
    <col min="8" max="8" width="9.140625" style="2" customWidth="1"/>
    <col min="9" max="16" width="9.140625" customWidth="1"/>
  </cols>
  <sheetData>
    <row r="1" spans="1:22" x14ac:dyDescent="0.2">
      <c r="B1" s="38" t="s">
        <v>102</v>
      </c>
      <c r="C1" s="2"/>
      <c r="D1" s="2"/>
      <c r="E1" s="2"/>
      <c r="F1" s="2"/>
      <c r="G1" s="8"/>
      <c r="I1" s="2"/>
      <c r="J1" s="2"/>
      <c r="K1" s="2"/>
      <c r="L1" s="2"/>
      <c r="M1" s="2"/>
      <c r="N1" s="2" t="s">
        <v>46</v>
      </c>
      <c r="O1" s="2" t="s">
        <v>46</v>
      </c>
      <c r="P1" s="2" t="s">
        <v>46</v>
      </c>
      <c r="Q1" s="2" t="s">
        <v>46</v>
      </c>
      <c r="R1" s="65">
        <f>722550+996940+530160</f>
        <v>2249650</v>
      </c>
      <c r="S1" s="2"/>
      <c r="T1" s="2"/>
      <c r="U1" s="2"/>
      <c r="V1" s="2"/>
    </row>
    <row r="2" spans="1:22" x14ac:dyDescent="0.2">
      <c r="B2" s="2" t="s">
        <v>18</v>
      </c>
      <c r="C2" s="2">
        <v>12</v>
      </c>
      <c r="D2" s="2"/>
      <c r="F2" s="2"/>
      <c r="G2" s="2"/>
      <c r="I2" s="1"/>
      <c r="J2" s="2"/>
      <c r="K2" s="1"/>
      <c r="L2" s="1"/>
      <c r="M2" s="1"/>
      <c r="N2" s="1"/>
      <c r="O2" s="1"/>
      <c r="P2" s="1"/>
      <c r="Q2" s="1"/>
      <c r="R2" s="2"/>
      <c r="S2" s="2"/>
      <c r="T2" s="2"/>
      <c r="U2" s="2"/>
      <c r="V2" s="2"/>
    </row>
    <row r="3" spans="1:22" x14ac:dyDescent="0.2">
      <c r="B3" s="2" t="s">
        <v>79</v>
      </c>
      <c r="C3" s="2"/>
      <c r="D3" s="2"/>
      <c r="E3" s="2"/>
      <c r="F3" s="2"/>
      <c r="G3" s="2">
        <f>G5</f>
        <v>2822</v>
      </c>
      <c r="H3" s="2">
        <f t="shared" ref="H3:R3" si="0">G3+H5</f>
        <v>-8056</v>
      </c>
      <c r="I3" s="2">
        <f t="shared" si="0"/>
        <v>-22457</v>
      </c>
      <c r="J3" s="2">
        <f t="shared" si="0"/>
        <v>-11193</v>
      </c>
      <c r="K3" s="2">
        <f t="shared" si="0"/>
        <v>1465</v>
      </c>
      <c r="L3" s="2">
        <f t="shared" si="0"/>
        <v>17779</v>
      </c>
      <c r="M3" s="2">
        <f t="shared" si="0"/>
        <v>14484</v>
      </c>
      <c r="N3" s="2">
        <f t="shared" si="0"/>
        <v>11126</v>
      </c>
      <c r="O3" s="2">
        <f t="shared" si="0"/>
        <v>-4032</v>
      </c>
      <c r="P3" s="2">
        <f t="shared" si="0"/>
        <v>4849</v>
      </c>
      <c r="Q3" s="2">
        <f t="shared" si="0"/>
        <v>-678</v>
      </c>
      <c r="R3" s="2">
        <f t="shared" si="0"/>
        <v>-9594</v>
      </c>
      <c r="S3" s="2"/>
      <c r="T3" s="2"/>
      <c r="U3" s="2"/>
      <c r="V3" s="2"/>
    </row>
    <row r="4" spans="1:22" x14ac:dyDescent="0.2">
      <c r="B4" s="2" t="s">
        <v>29</v>
      </c>
      <c r="C4" s="2"/>
      <c r="D4" s="2"/>
      <c r="E4" s="2">
        <v>56000</v>
      </c>
      <c r="F4" s="2">
        <f>ROUND(SUM(G4:R4)/C2,0)</f>
        <v>65775</v>
      </c>
      <c r="G4" s="2">
        <f>31875+24551</f>
        <v>56426</v>
      </c>
      <c r="H4" s="2">
        <f>33695+23382</f>
        <v>57077</v>
      </c>
      <c r="I4" s="2">
        <f>32943+24551</f>
        <v>57494</v>
      </c>
      <c r="J4" s="2">
        <f>35610+24551</f>
        <v>60161</v>
      </c>
      <c r="K4" s="2">
        <f>33152+18190+100000</f>
        <v>151342</v>
      </c>
      <c r="L4" s="2">
        <f>35133+23382</f>
        <v>58515</v>
      </c>
      <c r="M4" s="2">
        <f>33152+24283</f>
        <v>57435</v>
      </c>
      <c r="N4" s="2">
        <f>32222+24283</f>
        <v>56505</v>
      </c>
      <c r="O4" s="2">
        <f>34043+27955</f>
        <v>61998</v>
      </c>
      <c r="P4" s="2">
        <f>33152+25920</f>
        <v>59072</v>
      </c>
      <c r="Q4" s="2">
        <f>33152+24214</f>
        <v>57366</v>
      </c>
      <c r="R4" s="2">
        <f>31622+24283</f>
        <v>55905</v>
      </c>
      <c r="S4" s="2"/>
      <c r="T4" s="2"/>
      <c r="U4" s="2"/>
      <c r="V4" s="2"/>
    </row>
    <row r="5" spans="1:22" x14ac:dyDescent="0.2">
      <c r="B5" s="2" t="s">
        <v>32</v>
      </c>
      <c r="C5" s="2"/>
      <c r="D5" s="2"/>
      <c r="E5" s="2"/>
      <c r="F5" s="33">
        <f>ROUND(SUM(G5:R5)/C2,0)</f>
        <v>-800</v>
      </c>
      <c r="G5" s="64">
        <f>G4-G8</f>
        <v>2822</v>
      </c>
      <c r="H5" s="52">
        <f>H4-H8</f>
        <v>-10878</v>
      </c>
      <c r="I5" s="52">
        <f>I4-I8</f>
        <v>-14401</v>
      </c>
      <c r="J5" s="64">
        <f t="shared" ref="J5:R5" si="1">J4-J8</f>
        <v>11264</v>
      </c>
      <c r="K5" s="64">
        <f t="shared" si="1"/>
        <v>12658</v>
      </c>
      <c r="L5" s="64">
        <f t="shared" si="1"/>
        <v>16314</v>
      </c>
      <c r="M5" s="52">
        <f t="shared" si="1"/>
        <v>-3295</v>
      </c>
      <c r="N5" s="52">
        <f t="shared" si="1"/>
        <v>-3358</v>
      </c>
      <c r="O5" s="52">
        <f t="shared" si="1"/>
        <v>-15158</v>
      </c>
      <c r="P5" s="64">
        <f t="shared" si="1"/>
        <v>8881</v>
      </c>
      <c r="Q5" s="52">
        <f t="shared" si="1"/>
        <v>-5527</v>
      </c>
      <c r="R5" s="52">
        <f t="shared" si="1"/>
        <v>-8916</v>
      </c>
      <c r="S5" s="2"/>
      <c r="T5" s="2"/>
      <c r="U5" s="2"/>
      <c r="V5" s="2"/>
    </row>
    <row r="6" spans="1:22" x14ac:dyDescent="0.2">
      <c r="B6" s="2"/>
      <c r="C6" s="2"/>
      <c r="D6" s="2"/>
      <c r="E6" s="2"/>
      <c r="F6" s="33"/>
      <c r="G6" s="2"/>
      <c r="H6" s="52">
        <f t="shared" ref="H6:R6" si="2">G5+H5</f>
        <v>-8056</v>
      </c>
      <c r="I6" s="52">
        <f t="shared" si="2"/>
        <v>-25279</v>
      </c>
      <c r="J6" s="52">
        <f t="shared" si="2"/>
        <v>-3137</v>
      </c>
      <c r="K6" s="64">
        <f t="shared" si="2"/>
        <v>23922</v>
      </c>
      <c r="L6" s="64">
        <f t="shared" si="2"/>
        <v>28972</v>
      </c>
      <c r="M6" s="64">
        <f t="shared" si="2"/>
        <v>13019</v>
      </c>
      <c r="N6" s="52">
        <f t="shared" si="2"/>
        <v>-6653</v>
      </c>
      <c r="O6" s="52">
        <f t="shared" si="2"/>
        <v>-18516</v>
      </c>
      <c r="P6" s="52">
        <f t="shared" si="2"/>
        <v>-6277</v>
      </c>
      <c r="Q6" s="64">
        <f t="shared" si="2"/>
        <v>3354</v>
      </c>
      <c r="R6" s="52">
        <f t="shared" si="2"/>
        <v>-14443</v>
      </c>
      <c r="S6" s="2"/>
      <c r="T6" s="2"/>
      <c r="U6" s="2"/>
      <c r="V6" s="2"/>
    </row>
    <row r="7" spans="1:22" x14ac:dyDescent="0.2">
      <c r="B7" s="3" t="s">
        <v>0</v>
      </c>
      <c r="C7" s="3"/>
      <c r="D7" s="3"/>
      <c r="E7" s="4" t="s">
        <v>1</v>
      </c>
      <c r="F7" s="7" t="s">
        <v>5</v>
      </c>
      <c r="G7" s="5" t="s">
        <v>6</v>
      </c>
      <c r="H7" s="11" t="s">
        <v>7</v>
      </c>
      <c r="I7" s="4" t="s">
        <v>8</v>
      </c>
      <c r="J7" s="5" t="s">
        <v>9</v>
      </c>
      <c r="K7" s="5" t="s">
        <v>10</v>
      </c>
      <c r="L7" s="5" t="s">
        <v>11</v>
      </c>
      <c r="M7" s="5" t="s">
        <v>12</v>
      </c>
      <c r="N7" s="5" t="s">
        <v>13</v>
      </c>
      <c r="O7" s="5" t="s">
        <v>14</v>
      </c>
      <c r="P7" s="5" t="s">
        <v>192</v>
      </c>
      <c r="Q7" s="5" t="s">
        <v>16</v>
      </c>
      <c r="R7" s="5" t="s">
        <v>17</v>
      </c>
      <c r="S7" s="3"/>
      <c r="T7" s="3"/>
      <c r="U7" s="2"/>
      <c r="V7" s="2"/>
    </row>
    <row r="8" spans="1:22" x14ac:dyDescent="0.2">
      <c r="B8" s="47" t="s">
        <v>26</v>
      </c>
      <c r="C8" s="48"/>
      <c r="D8" s="48"/>
      <c r="E8" s="49"/>
      <c r="F8" s="48">
        <f>ROUND(SUM(H8:R8)/C2,0)</f>
        <v>62107</v>
      </c>
      <c r="G8" s="49">
        <f t="shared" ref="G8:R8" si="3">SUM(G9:G45)</f>
        <v>53604</v>
      </c>
      <c r="H8" s="48">
        <f t="shared" si="3"/>
        <v>67955</v>
      </c>
      <c r="I8" s="49">
        <f t="shared" si="3"/>
        <v>71895</v>
      </c>
      <c r="J8" s="49">
        <f t="shared" si="3"/>
        <v>48897</v>
      </c>
      <c r="K8" s="49">
        <f t="shared" si="3"/>
        <v>138684</v>
      </c>
      <c r="L8" s="49">
        <f t="shared" si="3"/>
        <v>42201</v>
      </c>
      <c r="M8" s="49">
        <f t="shared" si="3"/>
        <v>60730</v>
      </c>
      <c r="N8" s="49">
        <f t="shared" si="3"/>
        <v>59863</v>
      </c>
      <c r="O8" s="49">
        <f t="shared" si="3"/>
        <v>77156</v>
      </c>
      <c r="P8" s="49">
        <f t="shared" si="3"/>
        <v>50191</v>
      </c>
      <c r="Q8" s="49">
        <f t="shared" si="3"/>
        <v>62893</v>
      </c>
      <c r="R8" s="49">
        <f t="shared" si="3"/>
        <v>64821</v>
      </c>
      <c r="S8" s="3"/>
      <c r="T8" s="3"/>
      <c r="U8" s="2"/>
      <c r="V8" s="2"/>
    </row>
    <row r="9" spans="1:22" x14ac:dyDescent="0.2">
      <c r="A9" t="s">
        <v>113</v>
      </c>
      <c r="B9" s="45" t="s">
        <v>227</v>
      </c>
      <c r="C9" s="45" t="s">
        <v>232</v>
      </c>
      <c r="D9" s="45"/>
      <c r="E9" s="45">
        <v>4700</v>
      </c>
      <c r="F9" s="62">
        <f t="shared" ref="F9:F45" si="4">ROUND(SUM(G9:R9)/noMonths,0)</f>
        <v>4094</v>
      </c>
      <c r="G9" s="2">
        <f>6939-G10</f>
        <v>3939</v>
      </c>
      <c r="H9" s="2">
        <f>7081-H10</f>
        <v>4081</v>
      </c>
      <c r="I9" s="2">
        <f>7075-I10</f>
        <v>4075</v>
      </c>
      <c r="J9" s="2">
        <f>7249-J10</f>
        <v>4249</v>
      </c>
      <c r="K9" s="2">
        <f>7285-K10</f>
        <v>4285</v>
      </c>
      <c r="L9" s="2">
        <f>7279-L10</f>
        <v>4279</v>
      </c>
      <c r="M9" s="2">
        <f>2782+1962+1426-M10</f>
        <v>3240</v>
      </c>
      <c r="N9" s="2">
        <f>2467+2799+1986-N10</f>
        <v>4322</v>
      </c>
      <c r="O9" s="2">
        <f>7246-O10</f>
        <v>4316</v>
      </c>
      <c r="P9" s="2">
        <f>7004-P10</f>
        <v>4074</v>
      </c>
      <c r="Q9" s="2">
        <f>7067-Q10</f>
        <v>4137</v>
      </c>
      <c r="R9" s="2">
        <f>7061-R10</f>
        <v>4131</v>
      </c>
      <c r="S9" s="2"/>
      <c r="T9" s="2"/>
      <c r="U9" s="2"/>
      <c r="V9" s="2"/>
    </row>
    <row r="10" spans="1:22" x14ac:dyDescent="0.2">
      <c r="A10" t="s">
        <v>113</v>
      </c>
      <c r="B10" s="45" t="s">
        <v>228</v>
      </c>
      <c r="C10" s="45" t="s">
        <v>232</v>
      </c>
      <c r="D10" s="45"/>
      <c r="E10" s="45">
        <v>3000</v>
      </c>
      <c r="F10" s="62">
        <f t="shared" si="4"/>
        <v>2965</v>
      </c>
      <c r="G10" s="2">
        <v>3000</v>
      </c>
      <c r="H10" s="2">
        <v>3000</v>
      </c>
      <c r="I10" s="2">
        <v>3000</v>
      </c>
      <c r="J10" s="2">
        <v>3000</v>
      </c>
      <c r="K10" s="2">
        <v>3000</v>
      </c>
      <c r="L10" s="2">
        <v>3000</v>
      </c>
      <c r="M10" s="2">
        <f t="shared" ref="M10:R10" si="5">1530+1400</f>
        <v>2930</v>
      </c>
      <c r="N10" s="52">
        <f t="shared" si="5"/>
        <v>2930</v>
      </c>
      <c r="O10" s="52">
        <f t="shared" si="5"/>
        <v>2930</v>
      </c>
      <c r="P10" s="52">
        <f t="shared" si="5"/>
        <v>2930</v>
      </c>
      <c r="Q10" s="52">
        <f t="shared" si="5"/>
        <v>2930</v>
      </c>
      <c r="R10" s="52">
        <f t="shared" si="5"/>
        <v>2930</v>
      </c>
      <c r="S10" s="2"/>
      <c r="T10" s="2"/>
      <c r="U10" s="2"/>
      <c r="V10" s="2"/>
    </row>
    <row r="11" spans="1:22" x14ac:dyDescent="0.2">
      <c r="A11" t="s">
        <v>113</v>
      </c>
      <c r="B11" s="45" t="s">
        <v>195</v>
      </c>
      <c r="C11" s="45" t="s">
        <v>232</v>
      </c>
      <c r="D11" s="45"/>
      <c r="E11" s="52">
        <v>1850</v>
      </c>
      <c r="F11" s="62">
        <f t="shared" si="4"/>
        <v>1836</v>
      </c>
      <c r="G11" s="2">
        <f>1325+3821</f>
        <v>5146</v>
      </c>
      <c r="H11" s="2">
        <v>0</v>
      </c>
      <c r="I11" s="2">
        <f>4784+1652</f>
        <v>6436</v>
      </c>
      <c r="J11" s="2">
        <v>0</v>
      </c>
      <c r="K11" s="2">
        <f>1065+2773</f>
        <v>3838</v>
      </c>
      <c r="L11" s="2">
        <v>0</v>
      </c>
      <c r="M11" s="2">
        <f>1519+705</f>
        <v>2224</v>
      </c>
      <c r="N11" s="2">
        <v>0</v>
      </c>
      <c r="O11" s="2">
        <f>1303+608</f>
        <v>1911</v>
      </c>
      <c r="P11" s="2">
        <v>0</v>
      </c>
      <c r="Q11" s="2">
        <f>765+1711</f>
        <v>2476</v>
      </c>
      <c r="R11" s="2">
        <v>0</v>
      </c>
      <c r="S11" s="2"/>
      <c r="T11" s="2"/>
      <c r="U11" s="2"/>
      <c r="V11" s="2"/>
    </row>
    <row r="12" spans="1:22" x14ac:dyDescent="0.2">
      <c r="A12" t="s">
        <v>113</v>
      </c>
      <c r="B12" s="45" t="s">
        <v>196</v>
      </c>
      <c r="C12" s="45" t="s">
        <v>232</v>
      </c>
      <c r="D12" s="45"/>
      <c r="E12" s="63">
        <v>562</v>
      </c>
      <c r="F12" s="62">
        <f t="shared" si="4"/>
        <v>786</v>
      </c>
      <c r="G12" s="2">
        <v>0</v>
      </c>
      <c r="H12" s="2">
        <v>0</v>
      </c>
      <c r="I12" s="38">
        <v>2723</v>
      </c>
      <c r="J12" s="2">
        <v>0</v>
      </c>
      <c r="K12" s="2">
        <v>0</v>
      </c>
      <c r="L12" s="2">
        <v>0</v>
      </c>
      <c r="M12" s="2">
        <v>2173</v>
      </c>
      <c r="N12" s="2">
        <v>0</v>
      </c>
      <c r="O12" s="2">
        <v>2300</v>
      </c>
      <c r="P12" s="2">
        <v>0</v>
      </c>
      <c r="Q12" s="2">
        <v>0</v>
      </c>
      <c r="R12" s="2">
        <f>2236</f>
        <v>2236</v>
      </c>
      <c r="S12" s="2"/>
      <c r="T12" s="2"/>
      <c r="U12" s="2"/>
      <c r="V12" s="2"/>
    </row>
    <row r="13" spans="1:22" x14ac:dyDescent="0.2">
      <c r="A13" t="s">
        <v>113</v>
      </c>
      <c r="B13" s="45" t="s">
        <v>197</v>
      </c>
      <c r="C13" s="45" t="s">
        <v>232</v>
      </c>
      <c r="D13" s="45" t="s">
        <v>237</v>
      </c>
      <c r="E13" s="45">
        <v>373</v>
      </c>
      <c r="F13" s="62">
        <f t="shared" si="4"/>
        <v>421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5048</v>
      </c>
      <c r="P13" s="2">
        <v>0</v>
      </c>
      <c r="Q13" s="2">
        <v>0</v>
      </c>
      <c r="R13" s="2">
        <v>0</v>
      </c>
      <c r="S13" s="2"/>
      <c r="T13" s="2" t="s">
        <v>46</v>
      </c>
      <c r="U13" s="2"/>
      <c r="V13" s="2"/>
    </row>
    <row r="14" spans="1:22" x14ac:dyDescent="0.2">
      <c r="A14" t="s">
        <v>113</v>
      </c>
      <c r="B14" s="45" t="s">
        <v>198</v>
      </c>
      <c r="C14" s="45" t="s">
        <v>232</v>
      </c>
      <c r="D14" s="45"/>
      <c r="E14" s="45">
        <v>74</v>
      </c>
      <c r="F14" s="62">
        <f t="shared" si="4"/>
        <v>121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1446</v>
      </c>
      <c r="R14" s="2">
        <v>0</v>
      </c>
      <c r="S14" s="2"/>
      <c r="T14" s="2"/>
      <c r="U14" s="2"/>
      <c r="V14" s="2"/>
    </row>
    <row r="15" spans="1:22" x14ac:dyDescent="0.2">
      <c r="A15" t="s">
        <v>113</v>
      </c>
      <c r="B15" s="45" t="s">
        <v>199</v>
      </c>
      <c r="C15" s="45" t="s">
        <v>232</v>
      </c>
      <c r="D15" s="45" t="s">
        <v>238</v>
      </c>
      <c r="E15" s="63">
        <v>295</v>
      </c>
      <c r="F15" s="62">
        <f t="shared" si="4"/>
        <v>302</v>
      </c>
      <c r="G15" s="2">
        <v>0</v>
      </c>
      <c r="H15" s="2">
        <v>882</v>
      </c>
      <c r="I15" s="2">
        <v>0</v>
      </c>
      <c r="J15" s="2">
        <v>0</v>
      </c>
      <c r="K15" s="2">
        <v>882</v>
      </c>
      <c r="L15" s="2">
        <v>0</v>
      </c>
      <c r="M15" s="2">
        <v>0</v>
      </c>
      <c r="N15" s="2">
        <v>927</v>
      </c>
      <c r="O15" s="2">
        <v>0</v>
      </c>
      <c r="P15" s="2">
        <v>0</v>
      </c>
      <c r="Q15" s="2">
        <v>927</v>
      </c>
      <c r="R15" s="2">
        <v>0</v>
      </c>
      <c r="S15" s="2"/>
      <c r="T15" s="2"/>
      <c r="U15" s="2"/>
      <c r="V15" s="2"/>
    </row>
    <row r="16" spans="1:22" x14ac:dyDescent="0.2">
      <c r="A16" t="s">
        <v>113</v>
      </c>
      <c r="B16" s="45" t="s">
        <v>231</v>
      </c>
      <c r="C16" s="45" t="s">
        <v>232</v>
      </c>
      <c r="D16" s="45" t="s">
        <v>239</v>
      </c>
      <c r="E16" s="45">
        <v>35</v>
      </c>
      <c r="F16" s="62">
        <f t="shared" si="4"/>
        <v>33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400</v>
      </c>
      <c r="R16" s="2">
        <v>0</v>
      </c>
      <c r="S16" s="2"/>
      <c r="T16" s="2"/>
      <c r="U16" s="2"/>
      <c r="V16" s="2"/>
    </row>
    <row r="17" spans="1:22" x14ac:dyDescent="0.2">
      <c r="A17" s="51" t="s">
        <v>111</v>
      </c>
      <c r="B17" s="45" t="s">
        <v>229</v>
      </c>
      <c r="C17" s="45" t="s">
        <v>111</v>
      </c>
      <c r="D17" s="45"/>
      <c r="E17" s="63">
        <v>2000</v>
      </c>
      <c r="F17" s="62">
        <f t="shared" si="4"/>
        <v>2000</v>
      </c>
      <c r="G17" s="38">
        <v>2000</v>
      </c>
      <c r="H17" s="38">
        <v>2000</v>
      </c>
      <c r="I17" s="38">
        <v>2000</v>
      </c>
      <c r="J17" s="38">
        <v>2000</v>
      </c>
      <c r="K17" s="38">
        <v>2000</v>
      </c>
      <c r="L17" s="38">
        <v>2000</v>
      </c>
      <c r="M17" s="38">
        <v>2000</v>
      </c>
      <c r="N17" s="38">
        <v>2000</v>
      </c>
      <c r="O17" s="38">
        <v>2000</v>
      </c>
      <c r="P17" s="38">
        <v>2000</v>
      </c>
      <c r="Q17" s="38">
        <v>2000</v>
      </c>
      <c r="R17" s="38">
        <v>2000</v>
      </c>
      <c r="S17" s="2"/>
      <c r="T17" s="2"/>
      <c r="U17" s="2"/>
      <c r="V17" s="38" t="s">
        <v>46</v>
      </c>
    </row>
    <row r="18" spans="1:22" x14ac:dyDescent="0.2">
      <c r="A18" s="51" t="s">
        <v>111</v>
      </c>
      <c r="B18" s="45" t="s">
        <v>230</v>
      </c>
      <c r="C18" s="45" t="s">
        <v>111</v>
      </c>
      <c r="D18" s="45"/>
      <c r="E18" s="63">
        <v>4000</v>
      </c>
      <c r="F18" s="62">
        <f t="shared" si="4"/>
        <v>2167</v>
      </c>
      <c r="G18" s="38">
        <v>2000</v>
      </c>
      <c r="H18" s="38">
        <v>2000</v>
      </c>
      <c r="I18" s="38">
        <v>2000</v>
      </c>
      <c r="J18" s="38">
        <v>2000</v>
      </c>
      <c r="K18" s="38">
        <v>2000</v>
      </c>
      <c r="L18" s="38">
        <v>2000</v>
      </c>
      <c r="M18" s="38">
        <v>2000</v>
      </c>
      <c r="N18" s="38">
        <v>2000</v>
      </c>
      <c r="O18" s="38">
        <v>2000</v>
      </c>
      <c r="P18" s="38">
        <v>2000</v>
      </c>
      <c r="Q18" s="38">
        <v>4000</v>
      </c>
      <c r="R18" s="38">
        <v>2000</v>
      </c>
      <c r="S18" s="2"/>
      <c r="T18" s="2"/>
      <c r="U18" s="2"/>
      <c r="V18" s="2"/>
    </row>
    <row r="19" spans="1:22" x14ac:dyDescent="0.2">
      <c r="A19" t="s">
        <v>194</v>
      </c>
      <c r="B19" s="45" t="s">
        <v>200</v>
      </c>
      <c r="C19" s="45" t="s">
        <v>113</v>
      </c>
      <c r="D19" s="45" t="s">
        <v>240</v>
      </c>
      <c r="E19" s="45">
        <v>50</v>
      </c>
      <c r="F19" s="62">
        <f t="shared" si="4"/>
        <v>41</v>
      </c>
      <c r="G19" s="2">
        <v>0</v>
      </c>
      <c r="H19" s="2">
        <v>0</v>
      </c>
      <c r="I19" s="2">
        <v>187</v>
      </c>
      <c r="J19" s="2">
        <v>0</v>
      </c>
      <c r="K19" s="2">
        <v>0</v>
      </c>
      <c r="L19" s="2">
        <v>81</v>
      </c>
      <c r="M19" s="2">
        <v>0</v>
      </c>
      <c r="N19" s="2">
        <v>0</v>
      </c>
      <c r="O19" s="2">
        <v>96</v>
      </c>
      <c r="P19" s="2">
        <v>0</v>
      </c>
      <c r="Q19" s="2">
        <v>0</v>
      </c>
      <c r="R19" s="2">
        <v>123</v>
      </c>
      <c r="S19" s="2"/>
      <c r="T19" s="2"/>
      <c r="U19" s="2"/>
      <c r="V19" s="2"/>
    </row>
    <row r="20" spans="1:22" x14ac:dyDescent="0.2">
      <c r="A20" t="s">
        <v>194</v>
      </c>
      <c r="B20" s="45" t="s">
        <v>201</v>
      </c>
      <c r="C20" s="45" t="s">
        <v>113</v>
      </c>
      <c r="D20" s="45" t="s">
        <v>240</v>
      </c>
      <c r="E20" s="63">
        <v>400</v>
      </c>
      <c r="F20" s="62">
        <f t="shared" si="4"/>
        <v>392</v>
      </c>
      <c r="G20" s="2">
        <v>379</v>
      </c>
      <c r="H20" s="2">
        <v>379</v>
      </c>
      <c r="I20" s="2">
        <v>379</v>
      </c>
      <c r="J20" s="2">
        <v>379</v>
      </c>
      <c r="K20" s="2">
        <v>379</v>
      </c>
      <c r="L20" s="2">
        <v>379</v>
      </c>
      <c r="M20" s="2">
        <v>379</v>
      </c>
      <c r="N20" s="2">
        <v>379</v>
      </c>
      <c r="O20" s="2">
        <v>419</v>
      </c>
      <c r="P20" s="2">
        <v>419</v>
      </c>
      <c r="Q20" s="2">
        <v>419</v>
      </c>
      <c r="R20" s="2">
        <v>419</v>
      </c>
      <c r="S20" s="2"/>
      <c r="T20" s="2"/>
      <c r="U20" s="2"/>
      <c r="V20" s="2"/>
    </row>
    <row r="21" spans="1:22" x14ac:dyDescent="0.2">
      <c r="A21" t="s">
        <v>194</v>
      </c>
      <c r="B21" s="45" t="s">
        <v>202</v>
      </c>
      <c r="C21" s="45" t="s">
        <v>113</v>
      </c>
      <c r="D21" s="45" t="s">
        <v>240</v>
      </c>
      <c r="E21" s="63">
        <v>367</v>
      </c>
      <c r="F21" s="62">
        <f t="shared" si="4"/>
        <v>373</v>
      </c>
      <c r="G21" s="2">
        <f t="shared" ref="G21:L21" si="6">746-G20</f>
        <v>367</v>
      </c>
      <c r="H21" s="2">
        <f t="shared" si="6"/>
        <v>367</v>
      </c>
      <c r="I21" s="2">
        <f t="shared" si="6"/>
        <v>367</v>
      </c>
      <c r="J21" s="2">
        <f t="shared" si="6"/>
        <v>367</v>
      </c>
      <c r="K21" s="2">
        <f t="shared" si="6"/>
        <v>367</v>
      </c>
      <c r="L21" s="2">
        <f t="shared" si="6"/>
        <v>367</v>
      </c>
      <c r="M21" s="2">
        <f>746-M20</f>
        <v>367</v>
      </c>
      <c r="N21" s="2">
        <f>815-N20</f>
        <v>436</v>
      </c>
      <c r="O21" s="2">
        <f>786-O20</f>
        <v>367</v>
      </c>
      <c r="P21" s="2">
        <f>786-P20</f>
        <v>367</v>
      </c>
      <c r="Q21" s="2">
        <f>786-Q20</f>
        <v>367</v>
      </c>
      <c r="R21" s="2">
        <f>786-R20</f>
        <v>367</v>
      </c>
      <c r="S21" s="2"/>
      <c r="T21" s="2"/>
      <c r="U21" s="2"/>
      <c r="V21" s="2"/>
    </row>
    <row r="22" spans="1:22" x14ac:dyDescent="0.2">
      <c r="A22" t="s">
        <v>194</v>
      </c>
      <c r="B22" s="45" t="s">
        <v>203</v>
      </c>
      <c r="C22" s="45" t="s">
        <v>113</v>
      </c>
      <c r="D22" s="45" t="s">
        <v>241</v>
      </c>
      <c r="E22" s="63">
        <v>170</v>
      </c>
      <c r="F22" s="62">
        <f t="shared" si="4"/>
        <v>173</v>
      </c>
      <c r="G22" s="2">
        <v>0</v>
      </c>
      <c r="H22" s="2">
        <v>0</v>
      </c>
      <c r="I22" s="2">
        <v>519</v>
      </c>
      <c r="J22" s="2">
        <v>0</v>
      </c>
      <c r="K22" s="2">
        <v>0</v>
      </c>
      <c r="L22" s="2">
        <v>0</v>
      </c>
      <c r="M22" s="2">
        <v>519</v>
      </c>
      <c r="N22" s="2">
        <v>0</v>
      </c>
      <c r="O22" s="2">
        <v>519</v>
      </c>
      <c r="P22" s="2">
        <v>0</v>
      </c>
      <c r="Q22" s="2">
        <v>0</v>
      </c>
      <c r="R22" s="2">
        <v>519</v>
      </c>
      <c r="S22" s="2"/>
      <c r="T22" s="2"/>
      <c r="U22" s="2"/>
      <c r="V22" s="2"/>
    </row>
    <row r="23" spans="1:22" x14ac:dyDescent="0.2">
      <c r="A23" t="s">
        <v>194</v>
      </c>
      <c r="B23" s="45" t="s">
        <v>204</v>
      </c>
      <c r="C23" s="45" t="s">
        <v>113</v>
      </c>
      <c r="D23" s="45"/>
      <c r="E23" s="63">
        <v>250</v>
      </c>
      <c r="F23" s="62">
        <f t="shared" si="4"/>
        <v>282</v>
      </c>
      <c r="G23" s="2">
        <v>242</v>
      </c>
      <c r="H23" s="2">
        <v>268</v>
      </c>
      <c r="I23" s="2">
        <v>234</v>
      </c>
      <c r="J23" s="2">
        <v>279</v>
      </c>
      <c r="K23" s="2">
        <v>253</v>
      </c>
      <c r="L23" s="2">
        <f>228+195+315</f>
        <v>738</v>
      </c>
      <c r="M23" s="2">
        <f>239</f>
        <v>239</v>
      </c>
      <c r="N23" s="2">
        <v>248</v>
      </c>
      <c r="O23" s="2">
        <f>367</f>
        <v>367</v>
      </c>
      <c r="P23" s="2">
        <v>0</v>
      </c>
      <c r="Q23" s="2">
        <v>255</v>
      </c>
      <c r="R23" s="2">
        <v>255</v>
      </c>
      <c r="S23" s="2"/>
      <c r="T23" s="2"/>
      <c r="U23" s="2"/>
      <c r="V23" s="2"/>
    </row>
    <row r="24" spans="1:22" x14ac:dyDescent="0.2">
      <c r="A24" t="s">
        <v>194</v>
      </c>
      <c r="B24" s="45" t="s">
        <v>205</v>
      </c>
      <c r="C24" s="45" t="s">
        <v>113</v>
      </c>
      <c r="D24" s="45"/>
      <c r="E24" s="63">
        <v>250</v>
      </c>
      <c r="F24" s="62">
        <f t="shared" si="4"/>
        <v>246</v>
      </c>
      <c r="G24" s="2">
        <f>771+60</f>
        <v>831</v>
      </c>
      <c r="H24" s="2">
        <v>490</v>
      </c>
      <c r="I24" s="2">
        <v>195</v>
      </c>
      <c r="J24" s="2">
        <v>195</v>
      </c>
      <c r="K24" s="2">
        <v>0</v>
      </c>
      <c r="L24" s="2">
        <v>195</v>
      </c>
      <c r="M24" s="2">
        <v>462</v>
      </c>
      <c r="N24" s="2">
        <v>0</v>
      </c>
      <c r="O24" s="2">
        <v>195</v>
      </c>
      <c r="P24" s="2">
        <v>0</v>
      </c>
      <c r="Q24" s="2">
        <v>195</v>
      </c>
      <c r="R24" s="2">
        <v>195</v>
      </c>
      <c r="S24" s="2"/>
      <c r="T24" s="2"/>
      <c r="U24" s="2"/>
      <c r="V24" s="2"/>
    </row>
    <row r="25" spans="1:22" x14ac:dyDescent="0.2">
      <c r="A25" t="s">
        <v>194</v>
      </c>
      <c r="B25" s="45" t="s">
        <v>233</v>
      </c>
      <c r="C25" s="45" t="s">
        <v>113</v>
      </c>
      <c r="D25" s="45"/>
      <c r="E25" s="63">
        <v>178</v>
      </c>
      <c r="F25" s="62">
        <f t="shared" si="4"/>
        <v>21</v>
      </c>
      <c r="G25" s="38">
        <f>99+79+79</f>
        <v>257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2"/>
      <c r="T25" s="2"/>
      <c r="U25" s="2"/>
      <c r="V25" s="2"/>
    </row>
    <row r="26" spans="1:22" x14ac:dyDescent="0.2">
      <c r="A26" s="38" t="s">
        <v>221</v>
      </c>
      <c r="B26" s="45" t="s">
        <v>206</v>
      </c>
      <c r="C26" s="45" t="s">
        <v>114</v>
      </c>
      <c r="D26" s="45"/>
      <c r="E26" s="45">
        <v>3000</v>
      </c>
      <c r="F26" s="62">
        <f t="shared" si="4"/>
        <v>2923</v>
      </c>
      <c r="G26" s="2">
        <f>160+2586</f>
        <v>2746</v>
      </c>
      <c r="H26" s="2">
        <f>65+1265</f>
        <v>1330</v>
      </c>
      <c r="I26" s="2">
        <v>1566</v>
      </c>
      <c r="J26" s="2">
        <f>1958</f>
        <v>1958</v>
      </c>
      <c r="K26" s="2">
        <f>2629</f>
        <v>2629</v>
      </c>
      <c r="L26" s="2">
        <f>2004</f>
        <v>2004</v>
      </c>
      <c r="M26" s="2">
        <f>6095</f>
        <v>6095</v>
      </c>
      <c r="N26" s="2">
        <f>2987</f>
        <v>2987</v>
      </c>
      <c r="O26" s="2">
        <v>1812</v>
      </c>
      <c r="P26" s="2">
        <f>3249</f>
        <v>3249</v>
      </c>
      <c r="Q26" s="2">
        <f>2486</f>
        <v>2486</v>
      </c>
      <c r="R26" s="2">
        <v>6213</v>
      </c>
      <c r="S26" s="2"/>
      <c r="T26" s="2"/>
      <c r="U26" s="2"/>
      <c r="V26" s="2"/>
    </row>
    <row r="27" spans="1:22" x14ac:dyDescent="0.2">
      <c r="A27" s="38" t="s">
        <v>221</v>
      </c>
      <c r="B27" s="45" t="s">
        <v>31</v>
      </c>
      <c r="C27" s="45" t="s">
        <v>114</v>
      </c>
      <c r="D27" s="45"/>
      <c r="E27" s="45">
        <v>252</v>
      </c>
      <c r="F27" s="62">
        <f t="shared" si="4"/>
        <v>157</v>
      </c>
      <c r="G27" s="2">
        <v>0</v>
      </c>
      <c r="H27" s="2">
        <v>0</v>
      </c>
      <c r="I27" s="2">
        <v>0</v>
      </c>
      <c r="J27" s="2">
        <f>262</f>
        <v>262</v>
      </c>
      <c r="K27" s="2">
        <v>1619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 t="s">
        <v>46</v>
      </c>
      <c r="T27" s="2"/>
      <c r="U27" s="2"/>
      <c r="V27" s="2"/>
    </row>
    <row r="28" spans="1:22" x14ac:dyDescent="0.2">
      <c r="A28" s="38" t="s">
        <v>221</v>
      </c>
      <c r="B28" s="45" t="s">
        <v>35</v>
      </c>
      <c r="C28" s="45" t="s">
        <v>114</v>
      </c>
      <c r="D28" s="45" t="s">
        <v>237</v>
      </c>
      <c r="E28" s="45">
        <v>900</v>
      </c>
      <c r="F28" s="62">
        <f t="shared" si="4"/>
        <v>707</v>
      </c>
      <c r="G28" s="2">
        <v>0</v>
      </c>
      <c r="H28" s="2">
        <f>220</f>
        <v>220</v>
      </c>
      <c r="I28" s="2">
        <f>5720</f>
        <v>5720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2289</v>
      </c>
      <c r="Q28" s="2">
        <v>0</v>
      </c>
      <c r="R28" s="2">
        <f>250</f>
        <v>250</v>
      </c>
      <c r="S28" s="2"/>
      <c r="T28" s="2"/>
      <c r="U28" s="2"/>
      <c r="V28" s="2"/>
    </row>
    <row r="29" spans="1:22" x14ac:dyDescent="0.2">
      <c r="A29" s="38" t="s">
        <v>221</v>
      </c>
      <c r="B29" s="45" t="s">
        <v>54</v>
      </c>
      <c r="C29" s="45" t="s">
        <v>114</v>
      </c>
      <c r="D29" s="45"/>
      <c r="E29" s="45">
        <v>1200</v>
      </c>
      <c r="F29" s="62">
        <f t="shared" si="4"/>
        <v>1089</v>
      </c>
      <c r="G29" s="2">
        <v>0</v>
      </c>
      <c r="H29" s="2">
        <v>0</v>
      </c>
      <c r="I29" s="2">
        <v>2500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f>10569</f>
        <v>10569</v>
      </c>
      <c r="P29" s="2">
        <v>0</v>
      </c>
      <c r="Q29" s="2">
        <v>0</v>
      </c>
      <c r="R29" s="2">
        <v>0</v>
      </c>
      <c r="S29" s="2"/>
      <c r="T29" s="2"/>
      <c r="U29" s="2"/>
      <c r="V29" s="2"/>
    </row>
    <row r="30" spans="1:22" x14ac:dyDescent="0.2">
      <c r="A30" s="38" t="s">
        <v>221</v>
      </c>
      <c r="B30" s="45" t="s">
        <v>218</v>
      </c>
      <c r="C30" s="45" t="s">
        <v>114</v>
      </c>
      <c r="D30" s="45"/>
      <c r="E30" s="45">
        <v>500</v>
      </c>
      <c r="F30" s="62">
        <f t="shared" si="4"/>
        <v>417</v>
      </c>
      <c r="G30" s="2">
        <f>247+105+280</f>
        <v>632</v>
      </c>
      <c r="H30" s="2">
        <f>468+146</f>
        <v>614</v>
      </c>
      <c r="I30" s="2">
        <f>362+42</f>
        <v>404</v>
      </c>
      <c r="J30" s="2">
        <f>442+32</f>
        <v>474</v>
      </c>
      <c r="K30" s="2">
        <f>86+338</f>
        <v>424</v>
      </c>
      <c r="L30">
        <f>213+61</f>
        <v>274</v>
      </c>
      <c r="M30" s="2">
        <f>341+154</f>
        <v>495</v>
      </c>
      <c r="N30" s="2">
        <v>0</v>
      </c>
      <c r="O30" s="2">
        <f>396+178</f>
        <v>574</v>
      </c>
      <c r="P30" s="2">
        <v>0</v>
      </c>
      <c r="Q30" s="2">
        <f>473+81</f>
        <v>554</v>
      </c>
      <c r="R30" s="2">
        <f>144+412</f>
        <v>556</v>
      </c>
      <c r="V30" s="2"/>
    </row>
    <row r="31" spans="1:22" x14ac:dyDescent="0.2">
      <c r="A31" s="38" t="s">
        <v>221</v>
      </c>
      <c r="B31" s="45" t="s">
        <v>220</v>
      </c>
      <c r="C31" s="45" t="s">
        <v>114</v>
      </c>
      <c r="D31" s="45"/>
      <c r="E31" s="45">
        <v>250</v>
      </c>
      <c r="F31" s="62">
        <f t="shared" si="4"/>
        <v>236</v>
      </c>
      <c r="G31" s="38">
        <f>275</f>
        <v>275</v>
      </c>
      <c r="H31" s="38">
        <v>0</v>
      </c>
      <c r="I31" s="38">
        <v>449</v>
      </c>
      <c r="J31" s="38">
        <v>0</v>
      </c>
      <c r="K31" s="38">
        <v>560</v>
      </c>
      <c r="L31" s="38">
        <f>288</f>
        <v>288</v>
      </c>
      <c r="M31" s="38">
        <v>0</v>
      </c>
      <c r="N31" s="38">
        <v>0</v>
      </c>
      <c r="O31" s="38">
        <f>155</f>
        <v>155</v>
      </c>
      <c r="P31" s="38">
        <v>1100</v>
      </c>
      <c r="Q31" s="38">
        <v>0</v>
      </c>
      <c r="R31" s="38">
        <v>0</v>
      </c>
      <c r="V31" s="2"/>
    </row>
    <row r="32" spans="1:22" x14ac:dyDescent="0.2">
      <c r="A32" t="s">
        <v>3</v>
      </c>
      <c r="B32" s="45" t="s">
        <v>50</v>
      </c>
      <c r="C32" s="45" t="s">
        <v>113</v>
      </c>
      <c r="D32" s="45"/>
      <c r="E32" s="52">
        <v>262</v>
      </c>
      <c r="F32" s="62">
        <f t="shared" si="4"/>
        <v>261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3129</v>
      </c>
      <c r="P32" s="2">
        <v>0</v>
      </c>
      <c r="Q32" s="2">
        <v>0</v>
      </c>
      <c r="R32" s="2">
        <v>0</v>
      </c>
      <c r="S32" s="2"/>
      <c r="T32" s="2" t="s">
        <v>46</v>
      </c>
      <c r="U32" s="2"/>
      <c r="V32" s="2"/>
    </row>
    <row r="33" spans="1:22" x14ac:dyDescent="0.2">
      <c r="A33" t="s">
        <v>3</v>
      </c>
      <c r="B33" s="45" t="s">
        <v>34</v>
      </c>
      <c r="C33" s="45" t="s">
        <v>116</v>
      </c>
      <c r="D33" s="45"/>
      <c r="E33" s="45">
        <v>100</v>
      </c>
      <c r="F33" s="62">
        <f t="shared" si="4"/>
        <v>100</v>
      </c>
      <c r="G33" s="2">
        <v>100</v>
      </c>
      <c r="H33" s="2">
        <v>100</v>
      </c>
      <c r="I33" s="2">
        <v>100</v>
      </c>
      <c r="J33" s="2">
        <v>100</v>
      </c>
      <c r="K33" s="2">
        <v>100</v>
      </c>
      <c r="L33" s="2">
        <v>100</v>
      </c>
      <c r="M33" s="2">
        <v>100</v>
      </c>
      <c r="N33" s="2">
        <v>100</v>
      </c>
      <c r="O33" s="2">
        <v>100</v>
      </c>
      <c r="P33" s="2">
        <v>100</v>
      </c>
      <c r="Q33" s="2">
        <v>100</v>
      </c>
      <c r="R33" s="2">
        <v>100</v>
      </c>
      <c r="S33" s="2"/>
      <c r="T33" s="2"/>
      <c r="U33" s="2"/>
      <c r="V33" s="2"/>
    </row>
    <row r="34" spans="1:22" x14ac:dyDescent="0.2">
      <c r="A34" t="s">
        <v>3</v>
      </c>
      <c r="B34" s="45" t="s">
        <v>25</v>
      </c>
      <c r="C34" s="45" t="s">
        <v>116</v>
      </c>
      <c r="D34" s="45"/>
      <c r="E34" s="45">
        <v>320</v>
      </c>
      <c r="F34" s="62">
        <f t="shared" si="4"/>
        <v>318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f>484</f>
        <v>484</v>
      </c>
      <c r="P34" s="2">
        <f>1544+695</f>
        <v>2239</v>
      </c>
      <c r="Q34" s="2">
        <f>1091</f>
        <v>1091</v>
      </c>
      <c r="R34" s="2">
        <v>0</v>
      </c>
      <c r="S34" s="2"/>
      <c r="T34" s="2"/>
      <c r="U34" s="2"/>
      <c r="V34" s="2"/>
    </row>
    <row r="35" spans="1:22" x14ac:dyDescent="0.2">
      <c r="A35" t="s">
        <v>3</v>
      </c>
      <c r="B35" s="45" t="s">
        <v>52</v>
      </c>
      <c r="C35" s="45" t="s">
        <v>116</v>
      </c>
      <c r="D35" s="45"/>
      <c r="E35" s="45">
        <v>2000</v>
      </c>
      <c r="F35" s="62">
        <f t="shared" si="4"/>
        <v>2000</v>
      </c>
      <c r="G35" s="2">
        <v>2000</v>
      </c>
      <c r="H35" s="2">
        <v>2000</v>
      </c>
      <c r="I35" s="2">
        <v>2000</v>
      </c>
      <c r="J35" s="2">
        <v>2000</v>
      </c>
      <c r="K35" s="2">
        <v>2000</v>
      </c>
      <c r="L35" s="2">
        <v>2000</v>
      </c>
      <c r="M35" s="2">
        <v>2000</v>
      </c>
      <c r="N35" s="2">
        <v>2000</v>
      </c>
      <c r="O35" s="2">
        <v>2000</v>
      </c>
      <c r="P35" s="2">
        <v>2000</v>
      </c>
      <c r="Q35" s="2">
        <v>2000</v>
      </c>
      <c r="R35" s="2">
        <v>2000</v>
      </c>
      <c r="S35" s="2"/>
      <c r="T35" s="2"/>
      <c r="U35" s="2"/>
      <c r="V35" s="2"/>
    </row>
    <row r="36" spans="1:22" x14ac:dyDescent="0.2">
      <c r="A36" t="s">
        <v>3</v>
      </c>
      <c r="B36" s="45" t="s">
        <v>189</v>
      </c>
      <c r="C36" s="45" t="s">
        <v>116</v>
      </c>
      <c r="D36" s="45"/>
      <c r="E36" s="45">
        <v>200</v>
      </c>
      <c r="F36" s="62">
        <f t="shared" si="4"/>
        <v>200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f>363</f>
        <v>363</v>
      </c>
      <c r="O36" s="2">
        <v>0</v>
      </c>
      <c r="P36" s="2">
        <v>0</v>
      </c>
      <c r="Q36" s="2">
        <f>2033</f>
        <v>2033</v>
      </c>
      <c r="R36" s="2">
        <v>0</v>
      </c>
      <c r="S36" s="2"/>
      <c r="T36" s="2"/>
      <c r="U36" s="2"/>
      <c r="V36" s="2"/>
    </row>
    <row r="37" spans="1:22" x14ac:dyDescent="0.2">
      <c r="A37" s="2" t="s">
        <v>27</v>
      </c>
      <c r="B37" s="4" t="s">
        <v>27</v>
      </c>
      <c r="C37" s="2" t="s">
        <v>27</v>
      </c>
      <c r="D37" s="2"/>
      <c r="E37" s="25">
        <v>9900</v>
      </c>
      <c r="F37" s="62">
        <f t="shared" si="4"/>
        <v>9000</v>
      </c>
      <c r="G37" s="2">
        <v>9000</v>
      </c>
      <c r="H37" s="2">
        <v>9000</v>
      </c>
      <c r="I37" s="2">
        <v>9000</v>
      </c>
      <c r="J37" s="2">
        <v>9000</v>
      </c>
      <c r="K37" s="2">
        <v>9000</v>
      </c>
      <c r="L37" s="2">
        <v>9000</v>
      </c>
      <c r="M37" s="2">
        <v>9000</v>
      </c>
      <c r="N37" s="2">
        <v>9000</v>
      </c>
      <c r="O37" s="2">
        <v>9000</v>
      </c>
      <c r="P37" s="2">
        <v>9000</v>
      </c>
      <c r="Q37" s="2">
        <v>9000</v>
      </c>
      <c r="R37" s="2">
        <v>9000</v>
      </c>
      <c r="S37" s="2"/>
      <c r="T37" s="2"/>
      <c r="U37" s="2"/>
      <c r="V37" s="2"/>
    </row>
    <row r="38" spans="1:22" x14ac:dyDescent="0.2">
      <c r="A38" s="2" t="s">
        <v>3</v>
      </c>
      <c r="B38" s="2" t="s">
        <v>222</v>
      </c>
      <c r="C38" s="38" t="s">
        <v>222</v>
      </c>
      <c r="D38" s="38"/>
      <c r="E38" s="25">
        <v>0</v>
      </c>
      <c r="F38" s="62">
        <f t="shared" si="4"/>
        <v>760</v>
      </c>
      <c r="G38" s="2">
        <f>3813</f>
        <v>3813</v>
      </c>
      <c r="H38" s="2">
        <v>0</v>
      </c>
      <c r="I38" s="2">
        <v>0</v>
      </c>
      <c r="J38" s="2">
        <f>1650+3661</f>
        <v>5311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/>
      <c r="T38" s="2"/>
      <c r="U38" s="2"/>
      <c r="V38" s="2"/>
    </row>
    <row r="39" spans="1:22" x14ac:dyDescent="0.2">
      <c r="A39" s="2" t="s">
        <v>3</v>
      </c>
      <c r="B39" s="45" t="s">
        <v>165</v>
      </c>
      <c r="C39" s="2" t="s">
        <v>171</v>
      </c>
      <c r="D39" s="2"/>
      <c r="E39" s="25">
        <v>167</v>
      </c>
      <c r="F39" s="62">
        <f t="shared" si="4"/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11"/>
      <c r="T39" s="11"/>
      <c r="U39" s="11"/>
      <c r="V39" s="2"/>
    </row>
    <row r="40" spans="1:22" x14ac:dyDescent="0.2">
      <c r="A40" s="2" t="s">
        <v>3</v>
      </c>
      <c r="B40" s="45" t="s">
        <v>217</v>
      </c>
      <c r="C40" s="2" t="s">
        <v>171</v>
      </c>
      <c r="D40" s="2"/>
      <c r="E40" s="25">
        <v>0</v>
      </c>
      <c r="F40" s="62">
        <f t="shared" si="4"/>
        <v>94</v>
      </c>
      <c r="G40" s="2">
        <v>0</v>
      </c>
      <c r="H40" s="2">
        <f>125</f>
        <v>125</v>
      </c>
      <c r="I40" s="2">
        <v>249</v>
      </c>
      <c r="J40" s="2">
        <v>0</v>
      </c>
      <c r="K40" s="2">
        <v>0</v>
      </c>
      <c r="L40" s="2">
        <v>129</v>
      </c>
      <c r="M40" s="2">
        <f>255</f>
        <v>255</v>
      </c>
      <c r="N40" s="2">
        <v>0</v>
      </c>
      <c r="O40" s="2">
        <f>124</f>
        <v>124</v>
      </c>
      <c r="P40" s="2">
        <f>59</f>
        <v>59</v>
      </c>
      <c r="Q40" s="2">
        <f>190</f>
        <v>190</v>
      </c>
      <c r="R40" s="2">
        <v>0</v>
      </c>
      <c r="S40" s="2"/>
      <c r="T40" s="2"/>
      <c r="U40" s="2"/>
      <c r="V40" s="2"/>
    </row>
    <row r="41" spans="1:22" x14ac:dyDescent="0.2">
      <c r="A41" s="2" t="s">
        <v>3</v>
      </c>
      <c r="B41" s="45" t="s">
        <v>77</v>
      </c>
      <c r="C41" s="2" t="s">
        <v>171</v>
      </c>
      <c r="D41" s="2"/>
      <c r="E41" s="25">
        <v>0</v>
      </c>
      <c r="F41" s="62">
        <f t="shared" si="4"/>
        <v>4740</v>
      </c>
      <c r="G41" s="2">
        <f>1237+883+2150</f>
        <v>4270</v>
      </c>
      <c r="H41" s="2">
        <v>8618</v>
      </c>
      <c r="I41" s="2">
        <f>3880+8800</f>
        <v>12680</v>
      </c>
      <c r="J41" s="2">
        <f>1250+1300</f>
        <v>2550</v>
      </c>
      <c r="K41" s="2">
        <v>20000</v>
      </c>
      <c r="L41" s="2">
        <v>0</v>
      </c>
      <c r="M41" s="2">
        <f>400+1500</f>
        <v>1900</v>
      </c>
      <c r="N41" s="2">
        <v>0</v>
      </c>
      <c r="O41" s="52">
        <v>3179</v>
      </c>
      <c r="P41" s="2">
        <v>0</v>
      </c>
      <c r="Q41" s="2">
        <v>0</v>
      </c>
      <c r="R41" s="2">
        <f>500+3179</f>
        <v>3679</v>
      </c>
      <c r="S41" s="2"/>
      <c r="T41" s="2"/>
      <c r="U41" s="2"/>
      <c r="V41" s="2"/>
    </row>
    <row r="42" spans="1:22" x14ac:dyDescent="0.2">
      <c r="A42" s="2" t="s">
        <v>3</v>
      </c>
      <c r="B42" s="2" t="s">
        <v>3</v>
      </c>
      <c r="C42" s="2" t="s">
        <v>3</v>
      </c>
      <c r="D42" s="2"/>
      <c r="E42" s="25">
        <v>0</v>
      </c>
      <c r="F42" s="62">
        <f t="shared" si="4"/>
        <v>3108</v>
      </c>
      <c r="G42" s="2">
        <f>190+325+300+1000+550+178</f>
        <v>2543</v>
      </c>
      <c r="H42" s="2">
        <f>200+500+550</f>
        <v>1250</v>
      </c>
      <c r="I42" s="2">
        <f>400+1500+1700+500</f>
        <v>4100</v>
      </c>
      <c r="J42" s="2">
        <f>1200</f>
        <v>1200</v>
      </c>
      <c r="K42" s="2">
        <v>1000</v>
      </c>
      <c r="L42" s="2">
        <f>625+1000+2000+2000</f>
        <v>5625</v>
      </c>
      <c r="M42" s="2">
        <v>3100</v>
      </c>
      <c r="N42" s="2">
        <f>400+300+2000</f>
        <v>2700</v>
      </c>
      <c r="O42" s="2">
        <f>550+500+3500</f>
        <v>4550</v>
      </c>
      <c r="P42" s="2">
        <f>2145</f>
        <v>2145</v>
      </c>
      <c r="Q42" s="2">
        <f>1500+355+1400+500+400</f>
        <v>4155</v>
      </c>
      <c r="R42" s="2">
        <f>1931+3000</f>
        <v>4931</v>
      </c>
      <c r="S42" s="2"/>
      <c r="T42" s="2"/>
      <c r="U42" s="2"/>
      <c r="V42" s="2"/>
    </row>
    <row r="43" spans="1:22" x14ac:dyDescent="0.2">
      <c r="A43" s="2" t="s">
        <v>3</v>
      </c>
      <c r="B43" s="45" t="s">
        <v>236</v>
      </c>
      <c r="C43" s="2" t="s">
        <v>97</v>
      </c>
      <c r="D43" s="2"/>
      <c r="E43" s="25">
        <v>1000</v>
      </c>
      <c r="F43" s="62">
        <f t="shared" si="4"/>
        <v>1325</v>
      </c>
      <c r="G43" s="2">
        <v>1000</v>
      </c>
      <c r="H43" s="2">
        <f>1000</f>
        <v>1000</v>
      </c>
      <c r="I43" s="2">
        <v>1000</v>
      </c>
      <c r="J43" s="2">
        <v>1000</v>
      </c>
      <c r="K43" s="2">
        <v>1000</v>
      </c>
      <c r="L43" s="2">
        <v>1000</v>
      </c>
      <c r="M43" s="2">
        <v>1000</v>
      </c>
      <c r="N43" s="2">
        <f>1000+1000</f>
        <v>2000</v>
      </c>
      <c r="O43" s="2">
        <f>1000+1000</f>
        <v>2000</v>
      </c>
      <c r="P43" s="2">
        <f>1000+500+800+600</f>
        <v>2900</v>
      </c>
      <c r="Q43" s="2">
        <v>1000</v>
      </c>
      <c r="R43" s="2">
        <v>1000</v>
      </c>
      <c r="S43" s="2"/>
      <c r="T43" s="2"/>
      <c r="U43" s="2"/>
      <c r="V43" s="2"/>
    </row>
    <row r="44" spans="1:22" x14ac:dyDescent="0.2">
      <c r="A44" s="2" t="s">
        <v>3</v>
      </c>
      <c r="B44" s="45" t="s">
        <v>235</v>
      </c>
      <c r="C44" s="2" t="s">
        <v>97</v>
      </c>
      <c r="D44" s="2"/>
      <c r="E44" s="25">
        <v>250</v>
      </c>
      <c r="F44" s="62">
        <f t="shared" si="4"/>
        <v>242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1100</v>
      </c>
      <c r="P44" s="2">
        <v>0</v>
      </c>
      <c r="Q44" s="2">
        <f>600+1200</f>
        <v>1800</v>
      </c>
      <c r="R44" s="2">
        <v>0</v>
      </c>
      <c r="S44" s="2"/>
      <c r="T44" s="2"/>
      <c r="U44" s="2"/>
      <c r="V44" s="2"/>
    </row>
    <row r="45" spans="1:22" x14ac:dyDescent="0.2">
      <c r="A45" s="2" t="s">
        <v>3</v>
      </c>
      <c r="B45" s="38" t="s">
        <v>223</v>
      </c>
      <c r="C45" s="2" t="s">
        <v>117</v>
      </c>
      <c r="D45" s="2"/>
      <c r="E45" s="25">
        <v>8000</v>
      </c>
      <c r="F45" s="62">
        <f t="shared" si="4"/>
        <v>22648</v>
      </c>
      <c r="G45" s="2">
        <f>22409-G37-G25-G31-G38</f>
        <v>9064</v>
      </c>
      <c r="H45" s="2">
        <f>39231-H37-H25-H31-H38</f>
        <v>30231</v>
      </c>
      <c r="I45" s="2">
        <f>19461-I37-I25-I31-I38</f>
        <v>10012</v>
      </c>
      <c r="J45" s="2">
        <f>21573-J37-J25-J31</f>
        <v>12573</v>
      </c>
      <c r="K45" s="2">
        <f>92908-K37-K25-K31</f>
        <v>83348</v>
      </c>
      <c r="L45" s="2">
        <f>18030-L37-L25-L31-L38</f>
        <v>8742</v>
      </c>
      <c r="M45" s="2">
        <f>29252-M37-M25-M31-M38</f>
        <v>20252</v>
      </c>
      <c r="N45" s="2">
        <f>36471-N37-N25-N31-N38</f>
        <v>27471</v>
      </c>
      <c r="O45" s="2">
        <f>28246-O37-O25-O31-O38-O41</f>
        <v>15912</v>
      </c>
      <c r="P45" s="2">
        <f>23420-P37-P25-P31-P38-P41</f>
        <v>13320</v>
      </c>
      <c r="Q45" s="2">
        <f>27932-Q37-Q25-Q31-Q38-Q41</f>
        <v>18932</v>
      </c>
      <c r="R45" s="2">
        <f>30917-R37-R25-R31-R38</f>
        <v>21917</v>
      </c>
      <c r="S45" s="2"/>
      <c r="T45" s="2"/>
      <c r="U45" s="2"/>
      <c r="V45" s="2"/>
    </row>
    <row r="46" spans="1:22" x14ac:dyDescent="0.2">
      <c r="B46" s="4" t="s">
        <v>224</v>
      </c>
      <c r="C46" s="11"/>
      <c r="D46" s="11"/>
      <c r="E46" s="52">
        <f>SUM(E9:E45)</f>
        <v>46855</v>
      </c>
      <c r="F46" s="25">
        <f>SUM(F9:F45)</f>
        <v>66578</v>
      </c>
      <c r="G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x14ac:dyDescent="0.2">
      <c r="B47" s="4" t="s">
        <v>225</v>
      </c>
      <c r="C47" s="2"/>
      <c r="D47" s="2"/>
      <c r="E47" s="38">
        <f>E4</f>
        <v>56000</v>
      </c>
      <c r="F47" s="2"/>
      <c r="G47" s="2"/>
      <c r="I47" s="2"/>
      <c r="J47" s="2"/>
      <c r="K47" s="2"/>
      <c r="L47" s="2">
        <v>0</v>
      </c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x14ac:dyDescent="0.2">
      <c r="B48" s="38" t="s">
        <v>226</v>
      </c>
      <c r="C48" s="2"/>
      <c r="D48" s="2"/>
      <c r="E48" s="2">
        <f>E47-E46</f>
        <v>9145</v>
      </c>
      <c r="F48" s="2"/>
      <c r="G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2:22" x14ac:dyDescent="0.2">
      <c r="B49" s="2"/>
      <c r="C49" s="2"/>
      <c r="D49" s="2"/>
      <c r="E49" s="2"/>
      <c r="F49" s="2"/>
      <c r="G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2:22" x14ac:dyDescent="0.2">
      <c r="B50" s="11" t="s">
        <v>109</v>
      </c>
      <c r="C50" s="11"/>
      <c r="D50" s="11"/>
      <c r="E50" s="9"/>
      <c r="F50" s="2">
        <f>F37+F45</f>
        <v>31648</v>
      </c>
      <c r="G50" s="2">
        <f>G37+G45</f>
        <v>18064</v>
      </c>
      <c r="H50" s="2">
        <f>H30+I45</f>
        <v>10626</v>
      </c>
      <c r="I50" s="2">
        <f>I37+J45</f>
        <v>21573</v>
      </c>
      <c r="J50" s="2">
        <f t="shared" ref="J50:Q50" si="7">J37+J45</f>
        <v>21573</v>
      </c>
      <c r="K50" s="2">
        <f t="shared" si="7"/>
        <v>92348</v>
      </c>
      <c r="L50" s="2">
        <f t="shared" si="7"/>
        <v>17742</v>
      </c>
      <c r="M50" s="2">
        <f t="shared" si="7"/>
        <v>29252</v>
      </c>
      <c r="N50" s="2">
        <f t="shared" si="7"/>
        <v>36471</v>
      </c>
      <c r="O50" s="2">
        <f t="shared" si="7"/>
        <v>24912</v>
      </c>
      <c r="P50" s="2">
        <f t="shared" si="7"/>
        <v>22320</v>
      </c>
      <c r="Q50" s="2">
        <f t="shared" si="7"/>
        <v>27932</v>
      </c>
      <c r="R50" s="2"/>
      <c r="S50" s="2"/>
      <c r="T50" s="2"/>
      <c r="U50" s="2"/>
      <c r="V50" s="2"/>
    </row>
    <row r="51" spans="2:22" x14ac:dyDescent="0.2">
      <c r="B51" s="11" t="s">
        <v>110</v>
      </c>
      <c r="C51" s="2"/>
      <c r="D51" s="2"/>
      <c r="E51" s="2"/>
      <c r="F51" s="2"/>
      <c r="G51" s="2">
        <v>0</v>
      </c>
      <c r="H51" s="2">
        <v>0</v>
      </c>
      <c r="I51" s="2"/>
      <c r="J51" s="2"/>
      <c r="K51" s="2"/>
      <c r="L51" s="14"/>
      <c r="M51" s="14"/>
      <c r="N51" s="2"/>
      <c r="O51" s="2">
        <v>0</v>
      </c>
      <c r="P51" s="2">
        <v>0</v>
      </c>
      <c r="Q51" s="2"/>
      <c r="R51" s="2"/>
      <c r="S51" s="2"/>
      <c r="T51" s="2"/>
      <c r="U51" s="2"/>
      <c r="V51" s="2"/>
    </row>
    <row r="52" spans="2:22" x14ac:dyDescent="0.2">
      <c r="B52" s="11" t="s">
        <v>166</v>
      </c>
      <c r="C52" s="11"/>
      <c r="D52" s="11"/>
      <c r="E52" s="2"/>
      <c r="F52" s="2"/>
      <c r="G52" s="2">
        <v>0</v>
      </c>
      <c r="H52" s="2">
        <v>0</v>
      </c>
      <c r="I52" s="10"/>
      <c r="J52" s="2"/>
      <c r="K52" s="2"/>
      <c r="L52" s="2"/>
      <c r="M52" s="2"/>
      <c r="N52" s="2"/>
      <c r="O52" s="2">
        <v>0</v>
      </c>
      <c r="P52" s="2">
        <v>0</v>
      </c>
      <c r="Q52" s="2"/>
      <c r="R52" s="2"/>
      <c r="S52" s="2"/>
      <c r="T52" s="2"/>
      <c r="U52" s="2"/>
      <c r="V52" s="2"/>
    </row>
    <row r="53" spans="2:22" x14ac:dyDescent="0.2">
      <c r="B53" s="11" t="s">
        <v>167</v>
      </c>
      <c r="C53" s="11"/>
      <c r="D53" s="11"/>
      <c r="E53" s="2"/>
      <c r="F53" s="2"/>
      <c r="G53" s="2">
        <v>0</v>
      </c>
      <c r="H53" s="2">
        <v>0</v>
      </c>
      <c r="I53" s="10"/>
      <c r="J53" s="2">
        <v>0</v>
      </c>
      <c r="K53" s="2"/>
      <c r="L53" s="2"/>
      <c r="M53" s="2"/>
      <c r="N53" s="2"/>
      <c r="O53" s="2">
        <v>0</v>
      </c>
      <c r="P53" s="2"/>
      <c r="Q53" s="2"/>
      <c r="R53" s="2"/>
      <c r="S53" s="2"/>
      <c r="T53" s="2"/>
      <c r="U53" s="2"/>
      <c r="V53" s="2"/>
    </row>
    <row r="54" spans="2:22" x14ac:dyDescent="0.2">
      <c r="B54" s="11" t="s">
        <v>26</v>
      </c>
      <c r="C54" s="11"/>
      <c r="D54" s="11"/>
      <c r="E54" s="2"/>
      <c r="F54" s="2"/>
      <c r="G54" s="2"/>
      <c r="I54" s="2"/>
      <c r="J54" s="2"/>
      <c r="K54" s="2"/>
      <c r="L54" s="2"/>
      <c r="M54" s="2"/>
      <c r="N54" s="2"/>
      <c r="O54" s="2">
        <f>SUM(O51:O53)</f>
        <v>0</v>
      </c>
      <c r="P54" s="2">
        <f>SUM(P51:P53)</f>
        <v>0</v>
      </c>
      <c r="Q54" s="2"/>
      <c r="R54" s="2"/>
      <c r="S54" s="2"/>
      <c r="T54" s="2"/>
      <c r="U54" s="2"/>
      <c r="V54" s="2"/>
    </row>
    <row r="55" spans="2:22" x14ac:dyDescent="0.2">
      <c r="B55" s="11"/>
      <c r="C55" s="11"/>
      <c r="D55" s="11"/>
      <c r="E55" s="2"/>
      <c r="F55" s="2"/>
      <c r="G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2:22" x14ac:dyDescent="0.2">
      <c r="B56" s="2"/>
      <c r="C56" s="2"/>
      <c r="D56" s="2"/>
      <c r="E56" s="2"/>
      <c r="F56" s="2"/>
      <c r="G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2:22" x14ac:dyDescent="0.2">
      <c r="B57" s="2"/>
      <c r="C57" s="2"/>
      <c r="D57" s="2"/>
      <c r="F57" s="2"/>
      <c r="G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2:22" x14ac:dyDescent="0.2">
      <c r="B58" s="2"/>
      <c r="C58" s="2"/>
      <c r="D58" s="2"/>
      <c r="E58" s="2"/>
      <c r="F58" s="2"/>
      <c r="G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2:22" x14ac:dyDescent="0.2">
      <c r="B59" s="2"/>
      <c r="C59" s="2"/>
      <c r="D59" s="2"/>
      <c r="E59" s="2"/>
      <c r="F59" s="2"/>
      <c r="G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2:22" x14ac:dyDescent="0.2">
      <c r="B60" s="2"/>
      <c r="C60" s="2"/>
      <c r="D60" s="2"/>
      <c r="E60" s="2"/>
      <c r="F60" s="2"/>
      <c r="G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2:22" x14ac:dyDescent="0.2">
      <c r="B61" s="11" t="s">
        <v>119</v>
      </c>
      <c r="C61" s="2" t="s">
        <v>131</v>
      </c>
      <c r="D61" s="2"/>
      <c r="E61" s="2"/>
      <c r="F61" s="2"/>
      <c r="G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2:22" x14ac:dyDescent="0.2">
      <c r="B62" s="2" t="s">
        <v>113</v>
      </c>
      <c r="C62" s="2">
        <f>SUM(E9:E32)</f>
        <v>24918</v>
      </c>
      <c r="D62" s="2"/>
      <c r="E62" s="2"/>
      <c r="F62" s="2"/>
      <c r="G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2:22" x14ac:dyDescent="0.2">
      <c r="B63" s="2" t="s">
        <v>120</v>
      </c>
      <c r="C63" s="2">
        <f>SUM(E33:E36)</f>
        <v>2620</v>
      </c>
      <c r="D63" s="2"/>
      <c r="E63" s="2"/>
      <c r="F63" s="2"/>
      <c r="G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2:22" x14ac:dyDescent="0.2">
      <c r="B64" s="2" t="s">
        <v>114</v>
      </c>
      <c r="C64" s="2">
        <f>SUM(E26:E29)</f>
        <v>5352</v>
      </c>
      <c r="D64" s="2"/>
      <c r="E64" s="2"/>
      <c r="F64" s="2"/>
      <c r="G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2:22" x14ac:dyDescent="0.2">
      <c r="B65" s="2" t="s">
        <v>27</v>
      </c>
      <c r="C65" s="2">
        <f>E37</f>
        <v>9900</v>
      </c>
      <c r="D65" s="2"/>
      <c r="E65" s="2"/>
      <c r="F65" s="2"/>
      <c r="G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2:22" x14ac:dyDescent="0.2">
      <c r="B66" s="2" t="s">
        <v>127</v>
      </c>
      <c r="C66" s="2">
        <f>E44</f>
        <v>250</v>
      </c>
      <c r="D66" s="2"/>
      <c r="E66" s="2"/>
      <c r="F66" s="2"/>
      <c r="G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2:22" x14ac:dyDescent="0.2">
      <c r="B67" s="2" t="s">
        <v>122</v>
      </c>
      <c r="C67" s="2">
        <f>E45</f>
        <v>8000</v>
      </c>
      <c r="D67" s="2"/>
      <c r="E67" s="2"/>
      <c r="F67" s="2"/>
      <c r="G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2:22" x14ac:dyDescent="0.2">
      <c r="B68" s="2" t="s">
        <v>44</v>
      </c>
      <c r="C68" s="2">
        <f>SUM(C62:C67)</f>
        <v>51040</v>
      </c>
      <c r="D68" s="2"/>
      <c r="E68" s="2"/>
      <c r="F68" s="2"/>
      <c r="G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2:22" x14ac:dyDescent="0.2">
      <c r="B69" s="2"/>
      <c r="C69" s="2"/>
      <c r="D69" s="2"/>
      <c r="E69" s="2"/>
      <c r="F69" s="2"/>
      <c r="G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2:22" x14ac:dyDescent="0.2">
      <c r="B70" s="2" t="s">
        <v>126</v>
      </c>
      <c r="C70" s="9">
        <v>49400</v>
      </c>
      <c r="D70" s="9"/>
      <c r="E70" s="2"/>
      <c r="F70" s="2"/>
      <c r="G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2:22" x14ac:dyDescent="0.2">
      <c r="B71" s="2"/>
      <c r="C71" s="2"/>
      <c r="D71" s="2"/>
      <c r="E71" s="2"/>
      <c r="F71" s="2"/>
      <c r="G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2:22" x14ac:dyDescent="0.2">
      <c r="B72" s="2"/>
      <c r="C72" s="2"/>
      <c r="D72" s="2"/>
      <c r="E72" s="2"/>
      <c r="F72" s="2"/>
      <c r="G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2:22" x14ac:dyDescent="0.2">
      <c r="B73" s="2"/>
      <c r="C73" s="2"/>
      <c r="D73" s="2"/>
      <c r="E73" s="2"/>
      <c r="F73" s="2"/>
      <c r="G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2:22" x14ac:dyDescent="0.2">
      <c r="B74" s="2" t="s">
        <v>128</v>
      </c>
      <c r="C74" s="2"/>
      <c r="D74" s="2"/>
      <c r="E74" s="2"/>
      <c r="F74" s="2"/>
      <c r="G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2:22" x14ac:dyDescent="0.2">
      <c r="B75" s="2" t="s">
        <v>129</v>
      </c>
      <c r="C75" s="2">
        <f>45500</f>
        <v>45500</v>
      </c>
      <c r="D75" s="2"/>
      <c r="E75" s="2"/>
      <c r="F75" s="2"/>
      <c r="G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2:22" x14ac:dyDescent="0.2">
      <c r="B76" s="2"/>
      <c r="C76" s="2"/>
      <c r="D76" s="2"/>
      <c r="E76" s="2"/>
      <c r="F76" s="2"/>
      <c r="G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2:22" x14ac:dyDescent="0.2">
      <c r="B77" s="2"/>
      <c r="C77" s="2"/>
      <c r="D77" s="2"/>
      <c r="E77" s="2"/>
      <c r="F77" s="2"/>
      <c r="G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2:22" x14ac:dyDescent="0.2">
      <c r="B78" s="2"/>
      <c r="C78" s="2"/>
      <c r="D78" s="2"/>
      <c r="E78" s="2"/>
      <c r="F78" s="2"/>
      <c r="G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2:22" x14ac:dyDescent="0.2">
      <c r="B79" s="2"/>
      <c r="C79" s="2"/>
      <c r="D79" s="2"/>
      <c r="E79" s="2"/>
      <c r="F79" s="2"/>
      <c r="G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2:22" x14ac:dyDescent="0.2">
      <c r="B80" s="2"/>
      <c r="C80" s="2"/>
      <c r="D80" s="2"/>
      <c r="E80" s="2"/>
      <c r="F80" s="2"/>
      <c r="G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2:22" x14ac:dyDescent="0.2">
      <c r="B81" s="2"/>
      <c r="C81" s="2"/>
      <c r="D81" s="2"/>
      <c r="E81" s="2" t="s">
        <v>92</v>
      </c>
      <c r="F81" s="2" t="s">
        <v>93</v>
      </c>
      <c r="G81" s="2"/>
      <c r="I81" s="14">
        <v>3000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2:22" x14ac:dyDescent="0.2">
      <c r="B82" s="2" t="s">
        <v>90</v>
      </c>
      <c r="C82" s="2"/>
      <c r="D82" s="2"/>
      <c r="E82" s="2">
        <v>1248</v>
      </c>
      <c r="F82" s="2">
        <f>E82/12</f>
        <v>104</v>
      </c>
      <c r="G82" s="2"/>
      <c r="I82" s="34">
        <v>252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2:22" x14ac:dyDescent="0.2">
      <c r="B83" s="2" t="s">
        <v>91</v>
      </c>
      <c r="C83" s="2"/>
      <c r="D83" s="2"/>
      <c r="E83" s="2">
        <v>1332</v>
      </c>
      <c r="F83" s="2">
        <f>E83/12</f>
        <v>111</v>
      </c>
      <c r="G83" s="2"/>
      <c r="I83" s="34">
        <v>880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2:22" x14ac:dyDescent="0.2">
      <c r="B84" s="11" t="s">
        <v>94</v>
      </c>
      <c r="C84" s="11"/>
      <c r="D84" s="11"/>
      <c r="E84" s="11">
        <f>E82+E83</f>
        <v>2580</v>
      </c>
      <c r="F84" s="11">
        <f>F82+F83</f>
        <v>215</v>
      </c>
      <c r="G84" s="11"/>
      <c r="I84" s="34">
        <v>1200</v>
      </c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2"/>
    </row>
    <row r="85" spans="2:22" x14ac:dyDescent="0.2">
      <c r="B85" s="2"/>
      <c r="C85" s="2"/>
      <c r="D85" s="2"/>
      <c r="E85" s="2"/>
      <c r="F85" s="2"/>
      <c r="G85" s="2"/>
      <c r="I85" s="2">
        <f>I81+I82+I83+I84</f>
        <v>5332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2:22" x14ac:dyDescent="0.2">
      <c r="B86" s="4"/>
      <c r="C86" s="4"/>
      <c r="D86" s="4"/>
      <c r="E86" s="2"/>
      <c r="F86" s="2"/>
      <c r="G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2:22" x14ac:dyDescent="0.2">
      <c r="B87" s="2"/>
      <c r="C87" s="2"/>
      <c r="D87" s="2"/>
      <c r="E87" s="2"/>
      <c r="F87" s="2"/>
      <c r="G87" s="2"/>
      <c r="I87" s="2"/>
      <c r="J87" s="2"/>
      <c r="K87" s="2"/>
      <c r="L87" s="9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2:22" x14ac:dyDescent="0.2">
      <c r="B88" s="2"/>
      <c r="C88" s="2"/>
      <c r="D88" s="2"/>
      <c r="E88" s="2" t="s">
        <v>92</v>
      </c>
      <c r="F88" s="2" t="s">
        <v>93</v>
      </c>
      <c r="G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2:22" x14ac:dyDescent="0.2">
      <c r="B89" s="2" t="s">
        <v>95</v>
      </c>
      <c r="C89" s="2"/>
      <c r="D89" s="2"/>
      <c r="E89" s="2">
        <f>F89*12</f>
        <v>4140</v>
      </c>
      <c r="F89" s="2">
        <v>345</v>
      </c>
      <c r="G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2:22" x14ac:dyDescent="0.2">
      <c r="B90" s="2" t="s">
        <v>96</v>
      </c>
      <c r="C90" s="2"/>
      <c r="D90" s="2"/>
      <c r="E90" s="2">
        <f>F90*12</f>
        <v>3228</v>
      </c>
      <c r="F90" s="2">
        <v>269</v>
      </c>
      <c r="G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2:22" x14ac:dyDescent="0.2">
      <c r="B91" s="11" t="s">
        <v>94</v>
      </c>
      <c r="C91" s="11"/>
      <c r="D91" s="11"/>
      <c r="E91" s="11">
        <f>E89+E90</f>
        <v>7368</v>
      </c>
      <c r="F91" s="11">
        <f>F89+F90</f>
        <v>614</v>
      </c>
      <c r="G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2"/>
    </row>
    <row r="92" spans="2:22" x14ac:dyDescent="0.2">
      <c r="B92" s="2"/>
      <c r="C92" s="2"/>
      <c r="D92" s="2"/>
      <c r="E92" s="2"/>
      <c r="F92" s="2"/>
      <c r="G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2:22" x14ac:dyDescent="0.2">
      <c r="B93" s="2"/>
      <c r="C93" s="2"/>
      <c r="D93" s="2"/>
      <c r="E93" s="2"/>
      <c r="F93" s="2"/>
      <c r="G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2:22" x14ac:dyDescent="0.2">
      <c r="B94" s="2"/>
      <c r="C94" s="2"/>
      <c r="D94" s="2"/>
      <c r="E94" s="2"/>
      <c r="F94" s="2"/>
      <c r="G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2:22" x14ac:dyDescent="0.2">
      <c r="B95" s="2"/>
      <c r="C95" s="2"/>
      <c r="D95" s="2"/>
      <c r="E95" s="2"/>
      <c r="F95" s="2"/>
      <c r="G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2:22" x14ac:dyDescent="0.2">
      <c r="B96" s="2"/>
      <c r="C96" s="2"/>
      <c r="D96" s="2"/>
      <c r="E96" s="2"/>
      <c r="F96" s="2"/>
      <c r="G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2:22" x14ac:dyDescent="0.2">
      <c r="B97" s="2" t="s">
        <v>99</v>
      </c>
      <c r="C97" s="2"/>
      <c r="D97" s="2"/>
      <c r="E97" s="2"/>
      <c r="F97" s="2" t="s">
        <v>132</v>
      </c>
      <c r="G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2:22" x14ac:dyDescent="0.2">
      <c r="B98" s="2"/>
      <c r="C98" s="2"/>
      <c r="D98" s="2"/>
      <c r="E98" s="2"/>
      <c r="F98" s="2"/>
      <c r="G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2:22" x14ac:dyDescent="0.2">
      <c r="B99" s="2" t="s">
        <v>19</v>
      </c>
      <c r="C99" s="2">
        <f>E26</f>
        <v>3000</v>
      </c>
      <c r="D99" s="2"/>
      <c r="E99" s="2"/>
      <c r="F99" s="2"/>
      <c r="G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2:22" x14ac:dyDescent="0.2">
      <c r="B100" s="2" t="s">
        <v>31</v>
      </c>
      <c r="C100" s="2">
        <f>E27</f>
        <v>252</v>
      </c>
      <c r="D100" s="2"/>
      <c r="E100" s="2"/>
      <c r="F100" s="2"/>
      <c r="G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2:22" x14ac:dyDescent="0.2">
      <c r="B101" s="2" t="s">
        <v>35</v>
      </c>
      <c r="C101" s="2">
        <f>E28</f>
        <v>900</v>
      </c>
      <c r="D101" s="2"/>
      <c r="E101" s="2"/>
      <c r="F101" s="2"/>
      <c r="G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2:22" x14ac:dyDescent="0.2">
      <c r="B102" s="2" t="s">
        <v>54</v>
      </c>
      <c r="C102" s="2">
        <f>E29</f>
        <v>1200</v>
      </c>
      <c r="D102" s="2"/>
      <c r="E102" s="2"/>
      <c r="F102" s="2"/>
      <c r="G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2:22" x14ac:dyDescent="0.2">
      <c r="B103" s="2"/>
      <c r="C103" s="2"/>
      <c r="D103" s="2"/>
      <c r="E103" s="2"/>
      <c r="F103" s="2"/>
      <c r="G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2:22" x14ac:dyDescent="0.2">
      <c r="B104" s="2" t="s">
        <v>26</v>
      </c>
      <c r="C104" s="2">
        <f>SUM(C99:C102)</f>
        <v>5352</v>
      </c>
      <c r="D104" s="2"/>
      <c r="E104" s="2"/>
      <c r="F104" s="2"/>
      <c r="G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2:22" x14ac:dyDescent="0.2">
      <c r="B105" s="2"/>
      <c r="C105" s="2"/>
      <c r="D105" s="2"/>
      <c r="E105" s="2"/>
      <c r="F105" s="2"/>
      <c r="G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2:22" x14ac:dyDescent="0.2">
      <c r="B106" s="2"/>
      <c r="C106" s="2"/>
      <c r="D106" s="2"/>
      <c r="E106" s="2"/>
      <c r="F106" s="2"/>
      <c r="G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2:22" x14ac:dyDescent="0.2">
      <c r="B107" s="2" t="s">
        <v>107</v>
      </c>
      <c r="C107" s="2"/>
      <c r="D107" s="2"/>
      <c r="E107" s="2"/>
      <c r="F107" s="2"/>
      <c r="G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2:22" x14ac:dyDescent="0.2">
      <c r="B108" s="2" t="s">
        <v>108</v>
      </c>
      <c r="C108" s="2"/>
      <c r="D108" s="2"/>
      <c r="E108" s="2"/>
      <c r="F108" s="2"/>
      <c r="G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2:22" x14ac:dyDescent="0.2">
      <c r="B109" s="2"/>
      <c r="C109" s="2"/>
      <c r="D109" s="2"/>
      <c r="E109" s="2"/>
      <c r="F109" s="2"/>
      <c r="G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2:22" x14ac:dyDescent="0.2">
      <c r="B110" s="11"/>
      <c r="C110" s="11" t="s">
        <v>134</v>
      </c>
      <c r="D110" s="11"/>
      <c r="E110" s="11" t="s">
        <v>135</v>
      </c>
      <c r="F110" s="11" t="s">
        <v>136</v>
      </c>
      <c r="G110" s="11" t="s">
        <v>137</v>
      </c>
      <c r="H110" s="2" t="s">
        <v>138</v>
      </c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2"/>
    </row>
    <row r="111" spans="2:22" x14ac:dyDescent="0.2">
      <c r="B111" s="2" t="s">
        <v>133</v>
      </c>
      <c r="C111" s="2" t="s">
        <v>149</v>
      </c>
      <c r="D111" s="2"/>
      <c r="E111" s="2" t="s">
        <v>140</v>
      </c>
      <c r="F111" s="2" t="s">
        <v>149</v>
      </c>
      <c r="G111" s="2" t="s">
        <v>140</v>
      </c>
      <c r="H111" s="2" t="s">
        <v>140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2:22" x14ac:dyDescent="0.2">
      <c r="B112" s="2" t="s">
        <v>139</v>
      </c>
      <c r="C112" s="2" t="s">
        <v>140</v>
      </c>
      <c r="D112" s="2"/>
      <c r="E112" s="2" t="s">
        <v>149</v>
      </c>
      <c r="F112" s="2" t="s">
        <v>140</v>
      </c>
      <c r="G112" s="2" t="s">
        <v>149</v>
      </c>
      <c r="H112" s="2" t="s">
        <v>149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2:22" x14ac:dyDescent="0.2">
      <c r="B113" s="2"/>
      <c r="C113" s="2"/>
      <c r="D113" s="2"/>
      <c r="E113" s="2"/>
      <c r="F113" s="2"/>
      <c r="G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2:22" x14ac:dyDescent="0.2">
      <c r="B114" s="2" t="s">
        <v>144</v>
      </c>
      <c r="C114" s="2">
        <v>700</v>
      </c>
      <c r="D114" s="2"/>
      <c r="E114" s="2"/>
      <c r="F114" s="2"/>
      <c r="G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2:22" x14ac:dyDescent="0.2">
      <c r="B115" s="2" t="s">
        <v>141</v>
      </c>
      <c r="C115" s="2">
        <v>-1000</v>
      </c>
      <c r="D115" s="2"/>
      <c r="E115" s="2"/>
      <c r="F115" s="2"/>
      <c r="G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2:22" x14ac:dyDescent="0.2">
      <c r="B116" s="2" t="s">
        <v>142</v>
      </c>
      <c r="C116" s="2">
        <v>-406</v>
      </c>
      <c r="D116" s="2"/>
      <c r="E116" s="2"/>
      <c r="F116" s="2"/>
      <c r="G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2:22" x14ac:dyDescent="0.2">
      <c r="B117" s="2" t="s">
        <v>143</v>
      </c>
      <c r="C117" s="2">
        <v>-150</v>
      </c>
      <c r="D117" s="2"/>
      <c r="E117" s="2"/>
      <c r="F117" s="2"/>
      <c r="G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2:22" x14ac:dyDescent="0.2">
      <c r="B118" s="2" t="s">
        <v>145</v>
      </c>
      <c r="C118" s="2">
        <v>-550</v>
      </c>
      <c r="D118" s="2"/>
      <c r="E118" s="2"/>
      <c r="F118" s="2"/>
      <c r="G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2:22" x14ac:dyDescent="0.2">
      <c r="B119" s="11" t="s">
        <v>146</v>
      </c>
      <c r="C119" s="11">
        <f>SUM(C114:C118)</f>
        <v>-1406</v>
      </c>
      <c r="D119" s="11"/>
      <c r="E119" s="11"/>
      <c r="F119" s="11"/>
      <c r="G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2"/>
    </row>
    <row r="120" spans="2:22" x14ac:dyDescent="0.2">
      <c r="B120" s="2"/>
      <c r="C120" s="2"/>
      <c r="D120" s="2"/>
      <c r="E120" s="2"/>
      <c r="F120" s="2"/>
      <c r="G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2:22" x14ac:dyDescent="0.2">
      <c r="B121" s="2"/>
      <c r="C121" s="2"/>
      <c r="D121" s="2"/>
      <c r="E121" s="2"/>
      <c r="F121" s="2"/>
      <c r="G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2:22" x14ac:dyDescent="0.2">
      <c r="B122" s="2" t="s">
        <v>104</v>
      </c>
      <c r="C122" s="2">
        <v>5</v>
      </c>
      <c r="D122" s="2"/>
      <c r="E122" s="2"/>
      <c r="F122" s="2"/>
      <c r="G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2:22" x14ac:dyDescent="0.2">
      <c r="B123" s="2" t="s">
        <v>103</v>
      </c>
      <c r="C123" s="2">
        <v>0.06</v>
      </c>
      <c r="D123" s="2"/>
      <c r="E123" s="2"/>
      <c r="F123" s="2"/>
      <c r="G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2:22" x14ac:dyDescent="0.2">
      <c r="B124" s="2" t="s">
        <v>100</v>
      </c>
      <c r="C124" s="2">
        <f>50000</f>
        <v>50000</v>
      </c>
      <c r="D124" s="2"/>
      <c r="E124" s="2" t="s">
        <v>102</v>
      </c>
      <c r="F124" s="2" t="s">
        <v>105</v>
      </c>
      <c r="G124" s="2" t="s">
        <v>103</v>
      </c>
      <c r="H124" s="2" t="s">
        <v>44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2:22" x14ac:dyDescent="0.2">
      <c r="B125" s="2" t="s">
        <v>101</v>
      </c>
      <c r="C125" s="2"/>
      <c r="D125" s="2"/>
      <c r="E125" s="2">
        <v>50000</v>
      </c>
      <c r="F125" s="2">
        <f>E125/C122/12</f>
        <v>833.33333333333337</v>
      </c>
      <c r="G125" s="2">
        <f>((E125*C123)/12)*0.7</f>
        <v>175</v>
      </c>
      <c r="H125" s="2">
        <f>F125+G125</f>
        <v>1008.3333333333334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2:22" x14ac:dyDescent="0.2">
      <c r="B126" s="2" t="s">
        <v>106</v>
      </c>
      <c r="C126" s="2"/>
      <c r="D126" s="2"/>
      <c r="E126" s="2">
        <v>100000</v>
      </c>
      <c r="F126" s="2">
        <f>E126/C122/12</f>
        <v>1666.6666666666667</v>
      </c>
      <c r="G126" s="2">
        <f>((E126*C123)/12)*0.7</f>
        <v>350</v>
      </c>
      <c r="H126" s="2">
        <f>F126+G126</f>
        <v>2016.6666666666667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2:22" x14ac:dyDescent="0.2">
      <c r="B127" s="2"/>
      <c r="C127" s="2"/>
      <c r="D127" s="2"/>
      <c r="E127" s="2"/>
      <c r="F127" s="2"/>
      <c r="G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2:22" x14ac:dyDescent="0.2">
      <c r="B128" s="2"/>
      <c r="C128" s="2"/>
      <c r="D128" s="2"/>
      <c r="E128" s="2"/>
      <c r="F128" s="2"/>
      <c r="G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2:22" x14ac:dyDescent="0.2">
      <c r="B129" s="2"/>
      <c r="C129" s="2"/>
      <c r="D129" s="2"/>
      <c r="E129" s="2"/>
      <c r="F129" s="2"/>
      <c r="G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2:22" x14ac:dyDescent="0.2">
      <c r="B130" s="2"/>
      <c r="C130" s="2"/>
      <c r="D130" s="2"/>
      <c r="E130" s="2"/>
      <c r="F130" s="2"/>
      <c r="G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2:22" x14ac:dyDescent="0.2">
      <c r="B131" s="2"/>
      <c r="C131" s="2"/>
      <c r="D131" s="2"/>
      <c r="E131" s="2"/>
      <c r="F131" s="2"/>
      <c r="G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2:22" x14ac:dyDescent="0.2">
      <c r="B132" s="2"/>
      <c r="C132" s="2"/>
      <c r="D132" s="2"/>
      <c r="E132" s="2"/>
      <c r="F132" s="2"/>
      <c r="G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2:22" x14ac:dyDescent="0.2">
      <c r="B133" s="2"/>
      <c r="C133" s="2"/>
      <c r="D133" s="2"/>
      <c r="E133" s="2"/>
      <c r="F133" s="2"/>
      <c r="G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2:22" x14ac:dyDescent="0.2">
      <c r="B134" s="2"/>
      <c r="C134" s="2"/>
      <c r="D134" s="2"/>
      <c r="E134" s="2"/>
      <c r="F134" s="2"/>
      <c r="G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2:22" x14ac:dyDescent="0.2">
      <c r="B135" s="2"/>
      <c r="C135" s="2"/>
      <c r="D135" s="2"/>
      <c r="E135" s="2"/>
      <c r="F135" s="2"/>
      <c r="G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2:22" x14ac:dyDescent="0.2">
      <c r="B136" s="2"/>
      <c r="C136" s="2"/>
      <c r="D136" s="2"/>
      <c r="E136" s="2"/>
      <c r="F136" s="2"/>
      <c r="G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2:22" x14ac:dyDescent="0.2">
      <c r="B137" s="2"/>
      <c r="C137" s="2"/>
      <c r="D137" s="2"/>
      <c r="E137" s="2"/>
      <c r="F137" s="2"/>
      <c r="G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</sheetData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6"/>
  <sheetViews>
    <sheetView workbookViewId="0">
      <selection activeCell="D4" sqref="D4"/>
    </sheetView>
  </sheetViews>
  <sheetFormatPr defaultRowHeight="12.75" x14ac:dyDescent="0.2"/>
  <sheetData>
    <row r="3" spans="2:7" x14ac:dyDescent="0.2">
      <c r="B3">
        <v>2.5</v>
      </c>
      <c r="C3">
        <v>2</v>
      </c>
      <c r="D3">
        <v>47</v>
      </c>
      <c r="E3">
        <v>5</v>
      </c>
      <c r="F3">
        <v>18.5</v>
      </c>
      <c r="G3">
        <f>B3*C3*D3*E3*F3</f>
        <v>21737.5</v>
      </c>
    </row>
    <row r="4" spans="2:7" x14ac:dyDescent="0.2">
      <c r="B4">
        <v>1.5</v>
      </c>
      <c r="C4">
        <v>2</v>
      </c>
      <c r="D4">
        <v>42</v>
      </c>
      <c r="E4">
        <v>5</v>
      </c>
      <c r="F4">
        <v>18.5</v>
      </c>
      <c r="G4">
        <f>B4*C4*D4*E4*F4</f>
        <v>11655</v>
      </c>
    </row>
    <row r="5" spans="2:7" x14ac:dyDescent="0.2">
      <c r="B5" t="s">
        <v>46</v>
      </c>
    </row>
    <row r="6" spans="2:7" x14ac:dyDescent="0.2">
      <c r="B6" t="s">
        <v>46</v>
      </c>
    </row>
  </sheetData>
  <phoneticPr fontId="24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5"/>
  <sheetViews>
    <sheetView topLeftCell="A6" workbookViewId="0">
      <selection activeCell="E26" sqref="E26"/>
    </sheetView>
  </sheetViews>
  <sheetFormatPr defaultRowHeight="12.75" x14ac:dyDescent="0.2"/>
  <cols>
    <col min="1" max="1" width="12.42578125" customWidth="1"/>
    <col min="2" max="2" width="32.28515625" customWidth="1"/>
    <col min="6" max="6" width="9.140625" customWidth="1"/>
    <col min="7" max="7" width="9.140625" style="2" customWidth="1"/>
    <col min="8" max="14" width="9.140625" customWidth="1"/>
  </cols>
  <sheetData>
    <row r="1" spans="1:21" x14ac:dyDescent="0.2">
      <c r="B1" s="2" t="s">
        <v>51</v>
      </c>
      <c r="C1" s="2"/>
      <c r="D1" s="2"/>
      <c r="E1" s="2"/>
      <c r="F1" s="8"/>
      <c r="H1" s="2"/>
      <c r="I1" s="2"/>
      <c r="J1" s="2"/>
      <c r="K1" s="2"/>
      <c r="L1" s="2"/>
      <c r="M1" s="2" t="s">
        <v>46</v>
      </c>
      <c r="N1" s="2" t="s">
        <v>46</v>
      </c>
      <c r="O1" s="2" t="s">
        <v>46</v>
      </c>
      <c r="P1" s="2" t="s">
        <v>46</v>
      </c>
      <c r="Q1" s="2" t="s">
        <v>46</v>
      </c>
      <c r="R1" s="2"/>
      <c r="S1" s="2"/>
      <c r="T1" s="2"/>
      <c r="U1" s="2"/>
    </row>
    <row r="2" spans="1:21" x14ac:dyDescent="0.2">
      <c r="B2" s="2" t="s">
        <v>18</v>
      </c>
      <c r="C2" s="2">
        <v>12</v>
      </c>
      <c r="E2" s="2"/>
      <c r="F2" s="2"/>
      <c r="H2" s="1"/>
      <c r="I2" s="2"/>
      <c r="J2" s="1"/>
      <c r="K2" s="1"/>
      <c r="L2" s="1"/>
      <c r="M2" s="1"/>
      <c r="N2" s="1"/>
      <c r="O2" s="1"/>
      <c r="P2" s="1"/>
      <c r="Q2" s="2"/>
      <c r="R2" s="2"/>
      <c r="S2" s="2"/>
      <c r="T2" s="2"/>
      <c r="U2" s="2"/>
    </row>
    <row r="3" spans="1:21" x14ac:dyDescent="0.2">
      <c r="B3" s="2" t="s">
        <v>79</v>
      </c>
      <c r="C3" s="2"/>
      <c r="D3" s="2"/>
      <c r="E3" s="2"/>
      <c r="F3" s="2"/>
      <c r="H3" s="1"/>
      <c r="I3" s="2"/>
      <c r="J3" s="1"/>
      <c r="K3" s="1"/>
      <c r="L3" s="1"/>
      <c r="M3" s="1"/>
      <c r="N3" s="1" t="s">
        <v>46</v>
      </c>
      <c r="O3" s="1"/>
      <c r="P3" s="1"/>
      <c r="Q3" s="2"/>
      <c r="R3" s="2"/>
      <c r="S3" s="2"/>
      <c r="T3" s="2"/>
      <c r="U3" s="2"/>
    </row>
    <row r="4" spans="1:21" x14ac:dyDescent="0.2">
      <c r="B4" s="2" t="s">
        <v>29</v>
      </c>
      <c r="C4" s="2"/>
      <c r="D4" s="2">
        <v>56000</v>
      </c>
      <c r="E4" s="2">
        <f>ROUND(SUM(F4:Q4)/C2,0)</f>
        <v>52342</v>
      </c>
      <c r="F4" s="2">
        <v>0</v>
      </c>
      <c r="G4" s="2">
        <f>31622+23382</f>
        <v>55004</v>
      </c>
      <c r="H4" s="2">
        <f>31622+23382</f>
        <v>55004</v>
      </c>
      <c r="I4" s="2">
        <f>35578+23382</f>
        <v>58960</v>
      </c>
      <c r="J4" s="2">
        <f>31622+23382</f>
        <v>55004</v>
      </c>
      <c r="K4" s="2">
        <f>35133+23382</f>
        <v>58515</v>
      </c>
      <c r="L4" s="2">
        <f>33622+24283</f>
        <v>57905</v>
      </c>
      <c r="M4" s="2">
        <f>32222+24283</f>
        <v>56505</v>
      </c>
      <c r="N4" s="2">
        <f>35414+24283</f>
        <v>59697</v>
      </c>
      <c r="O4" s="2">
        <f>35414+24283</f>
        <v>59697</v>
      </c>
      <c r="P4" s="2">
        <f>31622+24283</f>
        <v>55905</v>
      </c>
      <c r="Q4" s="2">
        <f>31622+24283</f>
        <v>55905</v>
      </c>
      <c r="R4" s="2"/>
      <c r="S4" s="2"/>
      <c r="T4" s="2"/>
      <c r="U4" s="2"/>
    </row>
    <row r="5" spans="1:21" x14ac:dyDescent="0.2">
      <c r="B5" s="2" t="s">
        <v>32</v>
      </c>
      <c r="C5" s="2"/>
      <c r="D5" s="2"/>
      <c r="E5" s="33">
        <f>ROUND(SUM(F5:Q5)/C2,0)</f>
        <v>-1543</v>
      </c>
      <c r="F5" s="2">
        <f>F4-F8</f>
        <v>-3000</v>
      </c>
      <c r="G5" s="2">
        <f>G4-G8</f>
        <v>9466</v>
      </c>
      <c r="H5" s="52">
        <f>H4-H8</f>
        <v>-3790</v>
      </c>
      <c r="I5" s="2">
        <f t="shared" ref="I5:Q5" si="0">I4-I8</f>
        <v>19819</v>
      </c>
      <c r="J5" s="52">
        <f t="shared" si="0"/>
        <v>-6741</v>
      </c>
      <c r="K5" s="52">
        <f t="shared" si="0"/>
        <v>-4192</v>
      </c>
      <c r="L5" s="52">
        <f t="shared" si="0"/>
        <v>-7451</v>
      </c>
      <c r="M5" s="2">
        <f t="shared" si="0"/>
        <v>1720</v>
      </c>
      <c r="N5" s="2">
        <f t="shared" si="0"/>
        <v>4988</v>
      </c>
      <c r="O5" s="2">
        <f t="shared" si="0"/>
        <v>12586</v>
      </c>
      <c r="P5" s="2">
        <f t="shared" si="0"/>
        <v>-16080</v>
      </c>
      <c r="Q5" s="2">
        <f t="shared" si="0"/>
        <v>-25844</v>
      </c>
      <c r="R5" s="2"/>
      <c r="S5" s="2"/>
      <c r="T5" s="2"/>
      <c r="U5" s="2"/>
    </row>
    <row r="6" spans="1:21" x14ac:dyDescent="0.2">
      <c r="B6" s="2"/>
      <c r="C6" s="2"/>
      <c r="D6" s="2"/>
      <c r="E6" s="33"/>
      <c r="F6" s="2"/>
      <c r="H6" s="52"/>
      <c r="I6" s="2"/>
      <c r="J6" s="52"/>
      <c r="K6" s="52"/>
      <c r="L6" s="5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B7" s="3" t="s">
        <v>0</v>
      </c>
      <c r="C7" s="3"/>
      <c r="D7" s="4" t="s">
        <v>1</v>
      </c>
      <c r="E7" s="7" t="s">
        <v>5</v>
      </c>
      <c r="F7" s="5" t="s">
        <v>6</v>
      </c>
      <c r="G7" s="11" t="s">
        <v>7</v>
      </c>
      <c r="H7" s="4" t="s">
        <v>8</v>
      </c>
      <c r="I7" s="5" t="s">
        <v>9</v>
      </c>
      <c r="J7" s="5" t="s">
        <v>10</v>
      </c>
      <c r="K7" s="5" t="s">
        <v>11</v>
      </c>
      <c r="L7" s="5" t="s">
        <v>12</v>
      </c>
      <c r="M7" s="5" t="s">
        <v>13</v>
      </c>
      <c r="N7" s="5" t="s">
        <v>14</v>
      </c>
      <c r="O7" s="5" t="s">
        <v>192</v>
      </c>
      <c r="P7" s="5" t="s">
        <v>16</v>
      </c>
      <c r="Q7" s="5" t="s">
        <v>17</v>
      </c>
      <c r="R7" s="3"/>
      <c r="S7" s="3"/>
      <c r="T7" s="2"/>
      <c r="U7" s="2"/>
    </row>
    <row r="8" spans="1:21" x14ac:dyDescent="0.2">
      <c r="B8" s="47" t="s">
        <v>26</v>
      </c>
      <c r="C8" s="48"/>
      <c r="D8" s="49"/>
      <c r="E8" s="48">
        <f>ROUND(SUM(G8:Q8)/C2,0)</f>
        <v>53635</v>
      </c>
      <c r="F8" s="49">
        <f t="shared" ref="F8:Q8" si="1">SUM(F9:F43)</f>
        <v>3000</v>
      </c>
      <c r="G8" s="48">
        <f t="shared" si="1"/>
        <v>45538</v>
      </c>
      <c r="H8" s="49">
        <f t="shared" si="1"/>
        <v>58794</v>
      </c>
      <c r="I8" s="49">
        <f t="shared" si="1"/>
        <v>39141</v>
      </c>
      <c r="J8" s="49">
        <f t="shared" si="1"/>
        <v>61745</v>
      </c>
      <c r="K8" s="49">
        <f t="shared" si="1"/>
        <v>62707</v>
      </c>
      <c r="L8" s="49">
        <f t="shared" si="1"/>
        <v>65356</v>
      </c>
      <c r="M8" s="49">
        <f t="shared" si="1"/>
        <v>54785</v>
      </c>
      <c r="N8" s="49">
        <f t="shared" si="1"/>
        <v>54709</v>
      </c>
      <c r="O8" s="49">
        <f t="shared" si="1"/>
        <v>47111</v>
      </c>
      <c r="P8" s="49">
        <f t="shared" si="1"/>
        <v>71985</v>
      </c>
      <c r="Q8" s="49">
        <f t="shared" si="1"/>
        <v>81749</v>
      </c>
      <c r="R8" s="3"/>
      <c r="S8" s="3"/>
      <c r="T8" s="2"/>
      <c r="U8" s="2"/>
    </row>
    <row r="9" spans="1:21" x14ac:dyDescent="0.2">
      <c r="A9" t="s">
        <v>113</v>
      </c>
      <c r="B9" s="58" t="s">
        <v>227</v>
      </c>
      <c r="C9" s="2" t="s">
        <v>113</v>
      </c>
      <c r="D9" s="25">
        <v>4700</v>
      </c>
      <c r="E9" s="25">
        <f t="shared" ref="E9:E43" si="2">ROUND(SUM(G9:Q9)/Ant_månader,0)</f>
        <v>4154</v>
      </c>
      <c r="F9" s="2">
        <f>0-F10</f>
        <v>0</v>
      </c>
      <c r="G9" s="2">
        <f>7689-G10</f>
        <v>4689</v>
      </c>
      <c r="H9" s="38">
        <f>7683-H10</f>
        <v>4683</v>
      </c>
      <c r="I9" s="2">
        <f>7512-I10</f>
        <v>4512</v>
      </c>
      <c r="J9" s="2">
        <f>7573-J10</f>
        <v>4573</v>
      </c>
      <c r="K9" s="2">
        <f>7567-K10</f>
        <v>4567</v>
      </c>
      <c r="L9" s="2">
        <f>7414-L10</f>
        <v>4414</v>
      </c>
      <c r="M9" s="2">
        <f>7444-M10</f>
        <v>4444</v>
      </c>
      <c r="N9" s="2">
        <f>7438-N10</f>
        <v>4438</v>
      </c>
      <c r="O9" s="2">
        <f>7532-O10</f>
        <v>4532</v>
      </c>
      <c r="P9" s="2">
        <f>7498-P10</f>
        <v>4498</v>
      </c>
      <c r="Q9" s="2">
        <f>7492-Q10</f>
        <v>4492</v>
      </c>
      <c r="R9" s="2"/>
      <c r="S9" s="2"/>
      <c r="T9" s="2"/>
      <c r="U9" s="2"/>
    </row>
    <row r="10" spans="1:21" x14ac:dyDescent="0.2">
      <c r="A10" t="s">
        <v>113</v>
      </c>
      <c r="B10" s="58" t="s">
        <v>228</v>
      </c>
      <c r="C10" s="38" t="s">
        <v>113</v>
      </c>
      <c r="D10" s="52">
        <v>5000</v>
      </c>
      <c r="E10" s="25"/>
      <c r="F10" s="2"/>
      <c r="G10" s="2">
        <v>3000</v>
      </c>
      <c r="H10" s="2">
        <v>3000</v>
      </c>
      <c r="I10" s="2">
        <v>3000</v>
      </c>
      <c r="J10" s="2">
        <v>3000</v>
      </c>
      <c r="K10" s="2">
        <v>3000</v>
      </c>
      <c r="L10" s="2">
        <v>3000</v>
      </c>
      <c r="M10" s="2">
        <v>3000</v>
      </c>
      <c r="N10" s="2">
        <v>3000</v>
      </c>
      <c r="O10" s="38">
        <v>3000</v>
      </c>
      <c r="P10" s="38">
        <v>3000</v>
      </c>
      <c r="Q10" s="38">
        <v>3000</v>
      </c>
      <c r="R10" s="2"/>
      <c r="S10" s="2"/>
      <c r="T10" s="2"/>
      <c r="U10" s="2"/>
    </row>
    <row r="11" spans="1:21" x14ac:dyDescent="0.2">
      <c r="A11" t="s">
        <v>113</v>
      </c>
      <c r="B11" s="45" t="s">
        <v>195</v>
      </c>
      <c r="C11" s="2" t="s">
        <v>113</v>
      </c>
      <c r="D11" s="25">
        <v>2100</v>
      </c>
      <c r="E11" s="25">
        <f t="shared" si="2"/>
        <v>1940</v>
      </c>
      <c r="F11" s="2">
        <v>0</v>
      </c>
      <c r="G11" s="2">
        <v>0</v>
      </c>
      <c r="H11" s="2">
        <f>1765+6371</f>
        <v>8136</v>
      </c>
      <c r="I11" s="2">
        <v>0</v>
      </c>
      <c r="J11" s="2">
        <f>1363+4385</f>
        <v>5748</v>
      </c>
      <c r="K11" s="2">
        <v>1990</v>
      </c>
      <c r="L11" s="2">
        <f>1578+764</f>
        <v>2342</v>
      </c>
      <c r="M11" s="2">
        <v>0</v>
      </c>
      <c r="N11" s="2">
        <f>1405+733</f>
        <v>2138</v>
      </c>
      <c r="O11" s="2">
        <v>0</v>
      </c>
      <c r="P11" s="2">
        <f>2041+886</f>
        <v>2927</v>
      </c>
      <c r="Q11" s="2">
        <v>0</v>
      </c>
      <c r="R11" s="2"/>
      <c r="S11" s="2"/>
      <c r="T11" s="2"/>
      <c r="U11" s="2"/>
    </row>
    <row r="12" spans="1:21" x14ac:dyDescent="0.2">
      <c r="A12" t="s">
        <v>113</v>
      </c>
      <c r="B12" s="52" t="s">
        <v>196</v>
      </c>
      <c r="C12" s="2" t="s">
        <v>113</v>
      </c>
      <c r="D12" s="25">
        <v>562</v>
      </c>
      <c r="E12" s="25">
        <f t="shared" si="2"/>
        <v>605</v>
      </c>
      <c r="F12" s="2">
        <v>0</v>
      </c>
      <c r="G12" s="2">
        <v>0</v>
      </c>
      <c r="H12" s="2">
        <v>3258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2070</v>
      </c>
      <c r="O12" s="2">
        <v>0</v>
      </c>
      <c r="P12" s="2">
        <v>0</v>
      </c>
      <c r="Q12" s="2">
        <v>1929</v>
      </c>
      <c r="R12" s="2"/>
      <c r="S12" s="2"/>
      <c r="T12" s="2"/>
      <c r="U12" s="2"/>
    </row>
    <row r="13" spans="1:21" x14ac:dyDescent="0.2">
      <c r="A13" t="s">
        <v>113</v>
      </c>
      <c r="B13" s="45" t="s">
        <v>197</v>
      </c>
      <c r="C13" s="2" t="s">
        <v>113</v>
      </c>
      <c r="D13" s="25">
        <v>373</v>
      </c>
      <c r="E13" s="25">
        <f t="shared" si="2"/>
        <v>453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5441</v>
      </c>
      <c r="O13" s="2">
        <v>0</v>
      </c>
      <c r="P13" s="2">
        <v>0</v>
      </c>
      <c r="Q13" s="2">
        <v>0</v>
      </c>
      <c r="R13" s="2"/>
      <c r="S13" s="2" t="s">
        <v>46</v>
      </c>
      <c r="T13" s="2"/>
      <c r="U13" s="2"/>
    </row>
    <row r="14" spans="1:21" x14ac:dyDescent="0.2">
      <c r="A14" t="s">
        <v>113</v>
      </c>
      <c r="B14" s="45" t="s">
        <v>198</v>
      </c>
      <c r="C14" s="2" t="s">
        <v>113</v>
      </c>
      <c r="D14" s="25">
        <v>74</v>
      </c>
      <c r="E14" s="25">
        <f t="shared" si="2"/>
        <v>102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1227</v>
      </c>
      <c r="Q14" s="2">
        <v>0</v>
      </c>
      <c r="R14" s="2"/>
      <c r="S14" s="2"/>
      <c r="T14" s="2"/>
      <c r="U14" s="2"/>
    </row>
    <row r="15" spans="1:21" x14ac:dyDescent="0.2">
      <c r="A15" t="s">
        <v>113</v>
      </c>
      <c r="B15" s="45" t="s">
        <v>199</v>
      </c>
      <c r="C15" s="2" t="s">
        <v>113</v>
      </c>
      <c r="D15" s="25">
        <v>295</v>
      </c>
      <c r="E15" s="25">
        <f t="shared" si="2"/>
        <v>294</v>
      </c>
      <c r="F15" s="2">
        <v>0</v>
      </c>
      <c r="G15" s="2">
        <v>883</v>
      </c>
      <c r="H15" s="2">
        <v>0</v>
      </c>
      <c r="I15" s="2">
        <v>0</v>
      </c>
      <c r="J15" s="2">
        <v>883</v>
      </c>
      <c r="K15" s="2">
        <v>0</v>
      </c>
      <c r="L15" s="2">
        <v>0</v>
      </c>
      <c r="M15" s="2">
        <v>883</v>
      </c>
      <c r="N15" s="2">
        <v>0</v>
      </c>
      <c r="O15" s="2">
        <v>0</v>
      </c>
      <c r="P15" s="2">
        <v>883</v>
      </c>
      <c r="Q15" s="2">
        <v>0</v>
      </c>
      <c r="R15" s="2"/>
      <c r="S15" s="2"/>
      <c r="T15" s="2"/>
      <c r="U15" s="2"/>
    </row>
    <row r="16" spans="1:21" x14ac:dyDescent="0.2">
      <c r="A16" t="s">
        <v>113</v>
      </c>
      <c r="B16" s="45" t="s">
        <v>231</v>
      </c>
      <c r="C16" s="2" t="s">
        <v>113</v>
      </c>
      <c r="D16" s="25">
        <v>35</v>
      </c>
      <c r="E16" s="25">
        <f>ROUND(SUM(G16:Q16)/Ant_månader,0)</f>
        <v>33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400</v>
      </c>
      <c r="Q16" s="2">
        <v>0</v>
      </c>
      <c r="R16" s="2"/>
      <c r="S16" s="2"/>
      <c r="T16" s="2"/>
      <c r="U16" s="2"/>
    </row>
    <row r="17" spans="1:21" x14ac:dyDescent="0.2">
      <c r="A17" s="51" t="s">
        <v>111</v>
      </c>
      <c r="B17" s="38" t="s">
        <v>229</v>
      </c>
      <c r="C17" s="38" t="s">
        <v>111</v>
      </c>
      <c r="D17" s="38">
        <v>2000</v>
      </c>
      <c r="E17" s="25"/>
      <c r="F17" s="2"/>
      <c r="H17" s="2"/>
      <c r="I17" s="2"/>
      <c r="J17" s="2"/>
      <c r="K17" s="2"/>
      <c r="L17" s="2"/>
      <c r="M17" s="38">
        <v>2000</v>
      </c>
      <c r="N17" s="38">
        <v>2000</v>
      </c>
      <c r="O17" s="38">
        <v>2000</v>
      </c>
      <c r="P17" s="38">
        <v>2000</v>
      </c>
      <c r="Q17" s="38">
        <v>2000</v>
      </c>
      <c r="R17" s="2"/>
      <c r="S17" s="2"/>
      <c r="T17" s="2"/>
      <c r="U17" s="38" t="s">
        <v>46</v>
      </c>
    </row>
    <row r="18" spans="1:21" x14ac:dyDescent="0.2">
      <c r="A18" s="51" t="s">
        <v>111</v>
      </c>
      <c r="B18" s="38" t="s">
        <v>230</v>
      </c>
      <c r="C18" s="38" t="s">
        <v>111</v>
      </c>
      <c r="D18" s="38">
        <v>4000</v>
      </c>
      <c r="E18" s="25"/>
      <c r="F18" s="2"/>
      <c r="H18" s="2"/>
      <c r="I18" s="2"/>
      <c r="J18" s="2"/>
      <c r="K18" s="2"/>
      <c r="L18" s="2"/>
      <c r="M18" s="38">
        <v>2000</v>
      </c>
      <c r="N18" s="38">
        <v>2000</v>
      </c>
      <c r="O18" s="38">
        <v>2000</v>
      </c>
      <c r="P18" s="38">
        <v>2000</v>
      </c>
      <c r="Q18" s="38">
        <v>2000</v>
      </c>
      <c r="R18" s="2"/>
      <c r="S18" s="2"/>
      <c r="T18" s="2"/>
      <c r="U18" s="2"/>
    </row>
    <row r="19" spans="1:21" x14ac:dyDescent="0.2">
      <c r="A19" t="s">
        <v>194</v>
      </c>
      <c r="B19" s="45" t="s">
        <v>200</v>
      </c>
      <c r="C19" s="2" t="s">
        <v>113</v>
      </c>
      <c r="D19" s="25">
        <v>500</v>
      </c>
      <c r="E19" s="25">
        <f t="shared" si="2"/>
        <v>106</v>
      </c>
      <c r="F19" s="2">
        <v>0</v>
      </c>
      <c r="G19" s="2">
        <v>349</v>
      </c>
      <c r="H19" s="2">
        <v>0</v>
      </c>
      <c r="I19" s="2">
        <v>0</v>
      </c>
      <c r="J19" s="2">
        <v>0</v>
      </c>
      <c r="K19" s="2">
        <f>581</f>
        <v>581</v>
      </c>
      <c r="L19" s="2">
        <v>0</v>
      </c>
      <c r="M19" s="2">
        <v>259</v>
      </c>
      <c r="N19" s="2">
        <v>0</v>
      </c>
      <c r="O19" s="2">
        <v>0</v>
      </c>
      <c r="P19" s="2">
        <v>0</v>
      </c>
      <c r="Q19" s="2">
        <v>87</v>
      </c>
      <c r="R19" s="2"/>
      <c r="S19" s="2"/>
      <c r="T19" s="2"/>
      <c r="U19" s="2"/>
    </row>
    <row r="20" spans="1:21" x14ac:dyDescent="0.2">
      <c r="A20" t="s">
        <v>194</v>
      </c>
      <c r="B20" s="45" t="s">
        <v>201</v>
      </c>
      <c r="C20" s="2" t="s">
        <v>113</v>
      </c>
      <c r="D20" s="25">
        <v>349</v>
      </c>
      <c r="E20" s="25">
        <f t="shared" si="2"/>
        <v>343</v>
      </c>
      <c r="F20" s="2">
        <v>0</v>
      </c>
      <c r="G20" s="2">
        <v>326</v>
      </c>
      <c r="H20" s="2">
        <v>379</v>
      </c>
      <c r="I20" s="2">
        <v>379</v>
      </c>
      <c r="J20" s="2">
        <v>379</v>
      </c>
      <c r="K20" s="2">
        <v>379</v>
      </c>
      <c r="L20" s="2">
        <v>379</v>
      </c>
      <c r="M20" s="2">
        <v>379</v>
      </c>
      <c r="N20" s="2">
        <v>379</v>
      </c>
      <c r="O20" s="2">
        <v>379</v>
      </c>
      <c r="P20" s="2">
        <v>374</v>
      </c>
      <c r="Q20" s="2">
        <v>379</v>
      </c>
      <c r="R20" s="2"/>
      <c r="S20" s="2"/>
      <c r="T20" s="2"/>
      <c r="U20" s="2"/>
    </row>
    <row r="21" spans="1:21" x14ac:dyDescent="0.2">
      <c r="A21" t="s">
        <v>194</v>
      </c>
      <c r="B21" s="25" t="s">
        <v>202</v>
      </c>
      <c r="C21" s="2" t="s">
        <v>113</v>
      </c>
      <c r="D21" s="25">
        <v>441</v>
      </c>
      <c r="E21" s="25">
        <f t="shared" si="2"/>
        <v>414</v>
      </c>
      <c r="F21" s="2">
        <v>0</v>
      </c>
      <c r="G21" s="2">
        <f>926-G20</f>
        <v>600</v>
      </c>
      <c r="H21" s="2">
        <f>965-H20</f>
        <v>586</v>
      </c>
      <c r="I21" s="2">
        <f>926-I20</f>
        <v>547</v>
      </c>
      <c r="J21" s="2">
        <f>926-J20</f>
        <v>547</v>
      </c>
      <c r="K21" s="2">
        <f>528-K20</f>
        <v>149</v>
      </c>
      <c r="L21" s="2">
        <f>979-L20</f>
        <v>600</v>
      </c>
      <c r="M21" s="2">
        <f>826-M20</f>
        <v>447</v>
      </c>
      <c r="N21" s="2">
        <f>826-N20</f>
        <v>447</v>
      </c>
      <c r="O21" s="2">
        <f>677-O20</f>
        <v>298</v>
      </c>
      <c r="P21" s="2">
        <f>753-P20</f>
        <v>379</v>
      </c>
      <c r="Q21" s="2">
        <f>746-Q20</f>
        <v>367</v>
      </c>
      <c r="R21" s="2"/>
      <c r="S21" s="2"/>
      <c r="T21" s="2"/>
      <c r="U21" s="2"/>
    </row>
    <row r="22" spans="1:21" x14ac:dyDescent="0.2">
      <c r="A22" t="s">
        <v>194</v>
      </c>
      <c r="B22" s="25" t="s">
        <v>203</v>
      </c>
      <c r="C22" s="2" t="s">
        <v>113</v>
      </c>
      <c r="D22" s="46">
        <v>170</v>
      </c>
      <c r="E22" s="25">
        <f t="shared" si="2"/>
        <v>192</v>
      </c>
      <c r="F22" s="2">
        <v>0</v>
      </c>
      <c r="G22" s="2">
        <v>0</v>
      </c>
      <c r="H22" s="2">
        <v>519</v>
      </c>
      <c r="I22" s="2">
        <v>0</v>
      </c>
      <c r="J22" s="2">
        <v>0</v>
      </c>
      <c r="K22" s="2">
        <v>519</v>
      </c>
      <c r="L22" s="2">
        <v>228</v>
      </c>
      <c r="M22" s="2">
        <v>0</v>
      </c>
      <c r="N22" s="2">
        <v>519</v>
      </c>
      <c r="O22" s="2">
        <v>0</v>
      </c>
      <c r="P22" s="2">
        <v>0</v>
      </c>
      <c r="Q22" s="2">
        <v>519</v>
      </c>
      <c r="R22" s="2"/>
      <c r="S22" s="2"/>
      <c r="T22" s="2"/>
      <c r="U22" s="2"/>
    </row>
    <row r="23" spans="1:21" x14ac:dyDescent="0.2">
      <c r="A23" t="s">
        <v>194</v>
      </c>
      <c r="B23" s="25" t="s">
        <v>204</v>
      </c>
      <c r="C23" s="2" t="s">
        <v>113</v>
      </c>
      <c r="D23" s="25">
        <v>250</v>
      </c>
      <c r="E23" s="25">
        <f t="shared" si="2"/>
        <v>196</v>
      </c>
      <c r="F23" s="2">
        <v>0</v>
      </c>
      <c r="G23" s="2">
        <v>227</v>
      </c>
      <c r="H23" s="2">
        <v>216</v>
      </c>
      <c r="I23" s="2">
        <v>186</v>
      </c>
      <c r="J23" s="2">
        <v>232</v>
      </c>
      <c r="K23" s="2">
        <v>273</v>
      </c>
      <c r="L23" s="2">
        <v>0</v>
      </c>
      <c r="M23" s="2">
        <v>204</v>
      </c>
      <c r="N23" s="2">
        <v>213</v>
      </c>
      <c r="O23" s="2">
        <v>219</v>
      </c>
      <c r="P23" s="2">
        <v>319</v>
      </c>
      <c r="Q23" s="2">
        <v>261</v>
      </c>
      <c r="R23" s="2"/>
      <c r="S23" s="2"/>
      <c r="T23" s="2"/>
      <c r="U23" s="2"/>
    </row>
    <row r="24" spans="1:21" x14ac:dyDescent="0.2">
      <c r="A24" t="s">
        <v>194</v>
      </c>
      <c r="B24" s="25" t="s">
        <v>205</v>
      </c>
      <c r="C24" s="2" t="s">
        <v>113</v>
      </c>
      <c r="D24" s="25">
        <v>400</v>
      </c>
      <c r="E24" s="25">
        <f t="shared" si="2"/>
        <v>368</v>
      </c>
      <c r="F24" s="2">
        <v>0</v>
      </c>
      <c r="G24" s="2">
        <v>428</v>
      </c>
      <c r="H24" s="2">
        <v>385</v>
      </c>
      <c r="I24" s="2">
        <v>434</v>
      </c>
      <c r="J24" s="2">
        <f>377</f>
        <v>377</v>
      </c>
      <c r="K24" s="2">
        <v>375</v>
      </c>
      <c r="L24" s="2">
        <v>483</v>
      </c>
      <c r="M24" s="2">
        <v>374</v>
      </c>
      <c r="N24" s="2">
        <v>374</v>
      </c>
      <c r="O24" s="2">
        <v>374</v>
      </c>
      <c r="P24" s="2">
        <v>811</v>
      </c>
      <c r="Q24" s="2">
        <v>0</v>
      </c>
      <c r="R24" s="2"/>
      <c r="S24" s="2"/>
      <c r="T24" s="2"/>
      <c r="U24" s="2"/>
    </row>
    <row r="25" spans="1:21" x14ac:dyDescent="0.2">
      <c r="A25" t="s">
        <v>194</v>
      </c>
      <c r="B25" t="s">
        <v>219</v>
      </c>
      <c r="C25" s="38" t="s">
        <v>113</v>
      </c>
      <c r="D25" s="38">
        <v>178</v>
      </c>
      <c r="E25" s="25"/>
      <c r="F25" s="2"/>
      <c r="H25" s="2"/>
      <c r="I25" s="2"/>
      <c r="J25" s="2"/>
      <c r="K25" s="2"/>
      <c r="L25" s="2"/>
      <c r="M25" s="2">
        <f>99+79</f>
        <v>178</v>
      </c>
      <c r="N25" s="2"/>
      <c r="O25" s="2"/>
      <c r="P25" s="2"/>
      <c r="Q25" s="2"/>
      <c r="R25" s="2"/>
      <c r="S25" s="2"/>
      <c r="T25" s="2"/>
      <c r="U25" s="2"/>
    </row>
    <row r="26" spans="1:21" x14ac:dyDescent="0.2">
      <c r="A26" s="38" t="s">
        <v>221</v>
      </c>
      <c r="B26" s="45" t="s">
        <v>206</v>
      </c>
      <c r="C26" s="2" t="s">
        <v>114</v>
      </c>
      <c r="D26" s="25">
        <v>2900</v>
      </c>
      <c r="E26" s="25">
        <f t="shared" si="2"/>
        <v>2522</v>
      </c>
      <c r="F26" s="2">
        <v>0</v>
      </c>
      <c r="G26" s="2">
        <f>3107</f>
        <v>3107</v>
      </c>
      <c r="H26" s="2">
        <f>5780-5421+3247</f>
        <v>3606</v>
      </c>
      <c r="I26" s="45">
        <f>450+2397</f>
        <v>2847</v>
      </c>
      <c r="J26" s="2">
        <f>3045+41</f>
        <v>3086</v>
      </c>
      <c r="K26" s="2">
        <f>3734</f>
        <v>3734</v>
      </c>
      <c r="L26" s="2">
        <f>3028+38</f>
        <v>3066</v>
      </c>
      <c r="M26" s="2">
        <f>17+1893</f>
        <v>1910</v>
      </c>
      <c r="N26" s="2">
        <v>0</v>
      </c>
      <c r="O26" s="2">
        <v>0</v>
      </c>
      <c r="P26" s="2">
        <f>(3503-P29)+7261</f>
        <v>8196</v>
      </c>
      <c r="Q26" s="2">
        <f>25+690</f>
        <v>715</v>
      </c>
      <c r="R26" s="2"/>
      <c r="S26" s="2"/>
      <c r="T26" s="2"/>
      <c r="U26" s="2"/>
    </row>
    <row r="27" spans="1:21" x14ac:dyDescent="0.2">
      <c r="A27" s="38" t="s">
        <v>221</v>
      </c>
      <c r="B27" s="45" t="s">
        <v>31</v>
      </c>
      <c r="C27" s="38" t="s">
        <v>114</v>
      </c>
      <c r="D27" s="25">
        <v>252</v>
      </c>
      <c r="E27" s="25">
        <f t="shared" si="2"/>
        <v>140</v>
      </c>
      <c r="F27" s="2">
        <v>0</v>
      </c>
      <c r="G27" s="2">
        <v>0</v>
      </c>
      <c r="H27" s="2">
        <v>0</v>
      </c>
      <c r="I27" s="2">
        <f>65</f>
        <v>65</v>
      </c>
      <c r="J27" s="2">
        <v>1619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 t="s">
        <v>46</v>
      </c>
      <c r="S27" s="2"/>
      <c r="T27" s="2"/>
      <c r="U27" s="2"/>
    </row>
    <row r="28" spans="1:21" x14ac:dyDescent="0.2">
      <c r="A28" s="38" t="s">
        <v>221</v>
      </c>
      <c r="B28" s="45" t="s">
        <v>35</v>
      </c>
      <c r="C28" s="2" t="s">
        <v>114</v>
      </c>
      <c r="D28" s="25">
        <v>900</v>
      </c>
      <c r="E28" s="25">
        <f t="shared" si="2"/>
        <v>1208</v>
      </c>
      <c r="F28" s="2">
        <v>0</v>
      </c>
      <c r="G28" s="2">
        <f>1746+3675</f>
        <v>5421</v>
      </c>
      <c r="H28" s="2">
        <f>5421</f>
        <v>5421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3656</v>
      </c>
      <c r="P28" s="2">
        <v>0</v>
      </c>
      <c r="Q28" s="2">
        <v>0</v>
      </c>
      <c r="R28" s="2"/>
      <c r="S28" s="2"/>
      <c r="T28" s="2"/>
      <c r="U28" s="2"/>
    </row>
    <row r="29" spans="1:21" x14ac:dyDescent="0.2">
      <c r="A29" s="38" t="s">
        <v>221</v>
      </c>
      <c r="B29" s="50" t="s">
        <v>54</v>
      </c>
      <c r="C29" s="2" t="s">
        <v>114</v>
      </c>
      <c r="D29" s="25">
        <v>1900</v>
      </c>
      <c r="E29" s="25">
        <f t="shared" si="2"/>
        <v>1200</v>
      </c>
      <c r="F29" s="2">
        <v>0</v>
      </c>
      <c r="G29" s="2">
        <v>4000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f>2601</f>
        <v>2601</v>
      </c>
      <c r="O29" s="2">
        <v>2659</v>
      </c>
      <c r="P29" s="2">
        <v>2568</v>
      </c>
      <c r="Q29" s="2">
        <v>2568</v>
      </c>
      <c r="R29" s="2"/>
      <c r="S29" s="2"/>
      <c r="T29" s="2"/>
      <c r="U29" s="2"/>
    </row>
    <row r="30" spans="1:21" x14ac:dyDescent="0.2">
      <c r="A30" s="38" t="s">
        <v>221</v>
      </c>
      <c r="B30" s="38" t="s">
        <v>218</v>
      </c>
      <c r="C30" s="18" t="s">
        <v>114</v>
      </c>
      <c r="D30" s="38">
        <v>800</v>
      </c>
      <c r="E30" s="25">
        <f t="shared" si="2"/>
        <v>587</v>
      </c>
      <c r="F30" s="2">
        <v>0</v>
      </c>
      <c r="G30" s="2">
        <f>433+406</f>
        <v>839</v>
      </c>
      <c r="H30" s="2">
        <v>777</v>
      </c>
      <c r="I30" s="2">
        <v>857</v>
      </c>
      <c r="J30" s="2">
        <v>777</v>
      </c>
      <c r="K30" s="2">
        <f>490+361</f>
        <v>851</v>
      </c>
      <c r="L30" s="2">
        <f>382+368</f>
        <v>750</v>
      </c>
      <c r="M30" s="2">
        <f>412+295</f>
        <v>707</v>
      </c>
      <c r="N30" s="2">
        <v>0</v>
      </c>
      <c r="O30" s="2">
        <v>546</v>
      </c>
      <c r="P30" s="2">
        <f>410+37</f>
        <v>447</v>
      </c>
      <c r="Q30" s="2">
        <f>411+84</f>
        <v>495</v>
      </c>
      <c r="U30" s="2"/>
    </row>
    <row r="31" spans="1:21" x14ac:dyDescent="0.2">
      <c r="A31" s="38" t="s">
        <v>221</v>
      </c>
      <c r="B31" s="38" t="s">
        <v>220</v>
      </c>
      <c r="C31" s="18"/>
      <c r="D31" s="38"/>
      <c r="E31" s="25"/>
      <c r="F31" s="2"/>
      <c r="H31" s="2"/>
      <c r="I31" s="2"/>
      <c r="J31" s="2"/>
      <c r="K31" s="2"/>
      <c r="L31" s="2"/>
      <c r="M31" s="2">
        <f>327+895+142</f>
        <v>1364</v>
      </c>
      <c r="O31" s="2"/>
      <c r="P31" s="2"/>
      <c r="Q31" s="2">
        <f>665</f>
        <v>665</v>
      </c>
      <c r="U31" s="2"/>
    </row>
    <row r="32" spans="1:21" x14ac:dyDescent="0.2">
      <c r="A32" t="s">
        <v>3</v>
      </c>
      <c r="B32" s="2" t="s">
        <v>50</v>
      </c>
      <c r="C32" s="2" t="s">
        <v>113</v>
      </c>
      <c r="D32" s="25">
        <v>180</v>
      </c>
      <c r="E32" s="25">
        <f t="shared" si="2"/>
        <v>248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2979</v>
      </c>
      <c r="O32" s="2">
        <v>0</v>
      </c>
      <c r="P32" s="2">
        <v>0</v>
      </c>
      <c r="Q32" s="2">
        <v>0</v>
      </c>
      <c r="R32" s="2"/>
      <c r="S32" s="2" t="s">
        <v>46</v>
      </c>
      <c r="T32" s="2"/>
      <c r="U32" s="2"/>
    </row>
    <row r="33" spans="1:21" x14ac:dyDescent="0.2">
      <c r="A33" t="s">
        <v>3</v>
      </c>
      <c r="B33" s="2" t="s">
        <v>34</v>
      </c>
      <c r="C33" s="2" t="s">
        <v>116</v>
      </c>
      <c r="D33" s="25">
        <v>166</v>
      </c>
      <c r="E33" s="25">
        <f t="shared" si="2"/>
        <v>103</v>
      </c>
      <c r="F33" s="2">
        <v>0</v>
      </c>
      <c r="G33" s="2">
        <v>108</v>
      </c>
      <c r="H33" s="2">
        <v>108</v>
      </c>
      <c r="I33" s="2">
        <v>108</v>
      </c>
      <c r="J33" s="2">
        <v>208</v>
      </c>
      <c r="K33" s="2">
        <v>100</v>
      </c>
      <c r="L33" s="2">
        <v>100</v>
      </c>
      <c r="M33" s="2">
        <v>100</v>
      </c>
      <c r="N33" s="2">
        <v>100</v>
      </c>
      <c r="O33" s="2">
        <v>100</v>
      </c>
      <c r="P33" s="2">
        <v>100</v>
      </c>
      <c r="Q33" s="2">
        <v>100</v>
      </c>
      <c r="R33" s="2"/>
      <c r="S33" s="2"/>
      <c r="T33" s="2"/>
      <c r="U33" s="2"/>
    </row>
    <row r="34" spans="1:21" x14ac:dyDescent="0.2">
      <c r="A34" t="s">
        <v>3</v>
      </c>
      <c r="B34" s="2" t="s">
        <v>25</v>
      </c>
      <c r="C34" s="2" t="s">
        <v>116</v>
      </c>
      <c r="D34" s="25">
        <v>260</v>
      </c>
      <c r="E34" s="25">
        <f t="shared" si="2"/>
        <v>290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f>443</f>
        <v>443</v>
      </c>
      <c r="O34" s="2">
        <f>1404+632</f>
        <v>2036</v>
      </c>
      <c r="P34" s="2">
        <f>998</f>
        <v>998</v>
      </c>
      <c r="Q34" s="2">
        <v>0</v>
      </c>
      <c r="R34" s="2"/>
      <c r="S34" s="2"/>
      <c r="T34" s="2"/>
      <c r="U34" s="2"/>
    </row>
    <row r="35" spans="1:21" x14ac:dyDescent="0.2">
      <c r="A35" t="s">
        <v>3</v>
      </c>
      <c r="B35" s="2" t="s">
        <v>52</v>
      </c>
      <c r="C35" s="2" t="s">
        <v>116</v>
      </c>
      <c r="D35" s="25">
        <v>2000</v>
      </c>
      <c r="E35" s="25">
        <f t="shared" si="2"/>
        <v>1833</v>
      </c>
      <c r="F35" s="2">
        <v>2000</v>
      </c>
      <c r="G35" s="2">
        <v>2000</v>
      </c>
      <c r="H35" s="2">
        <v>2000</v>
      </c>
      <c r="I35" s="2">
        <v>2000</v>
      </c>
      <c r="J35" s="2">
        <v>2000</v>
      </c>
      <c r="K35" s="2">
        <v>2000</v>
      </c>
      <c r="L35" s="2">
        <v>2000</v>
      </c>
      <c r="M35" s="2">
        <v>2000</v>
      </c>
      <c r="N35" s="2">
        <v>2000</v>
      </c>
      <c r="O35" s="2">
        <v>2000</v>
      </c>
      <c r="P35" s="2">
        <v>2000</v>
      </c>
      <c r="Q35" s="2">
        <v>2000</v>
      </c>
      <c r="R35" s="2"/>
      <c r="S35" s="2"/>
      <c r="T35" s="2"/>
      <c r="U35" s="2"/>
    </row>
    <row r="36" spans="1:21" x14ac:dyDescent="0.2">
      <c r="A36" t="s">
        <v>3</v>
      </c>
      <c r="B36" s="2" t="s">
        <v>189</v>
      </c>
      <c r="C36" s="2" t="s">
        <v>116</v>
      </c>
      <c r="D36" s="25">
        <v>37</v>
      </c>
      <c r="E36" s="25">
        <f t="shared" si="2"/>
        <v>196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604</v>
      </c>
      <c r="M36" s="38">
        <v>0</v>
      </c>
      <c r="N36" s="2">
        <v>0</v>
      </c>
      <c r="O36" s="2">
        <v>0</v>
      </c>
      <c r="P36" s="2">
        <f>1746</f>
        <v>1746</v>
      </c>
      <c r="Q36" s="2">
        <v>0</v>
      </c>
      <c r="R36" s="2"/>
      <c r="S36" s="2"/>
      <c r="T36" s="2"/>
      <c r="U36" s="2"/>
    </row>
    <row r="37" spans="1:21" x14ac:dyDescent="0.2">
      <c r="A37" s="2" t="s">
        <v>27</v>
      </c>
      <c r="B37" s="4" t="s">
        <v>27</v>
      </c>
      <c r="C37" s="2" t="s">
        <v>27</v>
      </c>
      <c r="D37" s="25">
        <v>9900</v>
      </c>
      <c r="E37" s="25">
        <f t="shared" si="2"/>
        <v>8553</v>
      </c>
      <c r="F37" s="2">
        <v>0</v>
      </c>
      <c r="G37" s="2">
        <v>9000</v>
      </c>
      <c r="H37" s="2">
        <v>9000</v>
      </c>
      <c r="I37" s="50">
        <f>980+1033+906+470+1127+85+89+179+1474+199+79+158+326+234+354+105+79+619+66+303+115+75+160+80+62+384+237+567+73+210+980+514</f>
        <v>12322</v>
      </c>
      <c r="J37" s="2">
        <v>9000</v>
      </c>
      <c r="K37" s="2">
        <v>9000</v>
      </c>
      <c r="L37" s="2">
        <v>9000</v>
      </c>
      <c r="M37" s="2">
        <f>673+867+115+614+170+921+300+150+189+159+267+150+85+75+570+225+233+160+1154+155+60+907+218+718+150+80</f>
        <v>9365</v>
      </c>
      <c r="N37" s="2">
        <f>1538+147+403+68+156+160+434+204+196+450+225+235+1450+305+468+826+40+155+60+189+61+100+126+75+599+275</f>
        <v>8945</v>
      </c>
      <c r="O37" s="2">
        <v>9000</v>
      </c>
      <c r="P37" s="2">
        <v>9000</v>
      </c>
      <c r="Q37" s="2">
        <v>9000</v>
      </c>
      <c r="R37" s="2"/>
      <c r="S37" s="2"/>
      <c r="T37" s="2"/>
      <c r="U37" s="2"/>
    </row>
    <row r="38" spans="1:21" x14ac:dyDescent="0.2">
      <c r="A38" s="2" t="s">
        <v>3</v>
      </c>
      <c r="B38" s="59" t="s">
        <v>222</v>
      </c>
      <c r="C38" s="38" t="s">
        <v>222</v>
      </c>
      <c r="D38" s="25">
        <v>0</v>
      </c>
      <c r="E38" s="25">
        <f t="shared" si="2"/>
        <v>884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1800</v>
      </c>
      <c r="N38" s="2">
        <v>8810</v>
      </c>
      <c r="O38" s="2">
        <v>0</v>
      </c>
      <c r="P38" s="2">
        <v>0</v>
      </c>
      <c r="Q38" s="2">
        <v>0</v>
      </c>
      <c r="R38" s="2"/>
      <c r="S38" s="2"/>
      <c r="T38" s="2"/>
      <c r="U38" s="2"/>
    </row>
    <row r="39" spans="1:21" x14ac:dyDescent="0.2">
      <c r="A39" s="2" t="s">
        <v>3</v>
      </c>
      <c r="B39" s="2" t="s">
        <v>165</v>
      </c>
      <c r="C39" s="2" t="s">
        <v>171</v>
      </c>
      <c r="D39" s="25">
        <v>167</v>
      </c>
      <c r="E39" s="25">
        <f t="shared" si="2"/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11"/>
      <c r="S39" s="11"/>
      <c r="T39" s="11"/>
      <c r="U39" s="2"/>
    </row>
    <row r="40" spans="1:21" x14ac:dyDescent="0.2">
      <c r="A40" s="2" t="s">
        <v>3</v>
      </c>
      <c r="B40" s="38" t="s">
        <v>217</v>
      </c>
      <c r="C40" s="2" t="s">
        <v>171</v>
      </c>
      <c r="D40" s="25">
        <v>0</v>
      </c>
      <c r="E40" s="25">
        <f t="shared" si="2"/>
        <v>31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125</v>
      </c>
      <c r="N40" s="2">
        <v>0</v>
      </c>
      <c r="O40" s="2">
        <v>0</v>
      </c>
      <c r="P40" s="2">
        <v>124</v>
      </c>
      <c r="Q40" s="2">
        <v>124</v>
      </c>
      <c r="R40" s="2"/>
      <c r="S40" s="2"/>
      <c r="T40" s="2"/>
      <c r="U40" s="2"/>
    </row>
    <row r="41" spans="1:21" x14ac:dyDescent="0.2">
      <c r="A41" s="2" t="s">
        <v>3</v>
      </c>
      <c r="B41" s="2" t="s">
        <v>3</v>
      </c>
      <c r="C41" s="2" t="s">
        <v>3</v>
      </c>
      <c r="D41" s="25">
        <v>0</v>
      </c>
      <c r="E41" s="25">
        <f t="shared" si="2"/>
        <v>1551</v>
      </c>
      <c r="F41" s="2">
        <v>0</v>
      </c>
      <c r="G41" s="2">
        <v>0</v>
      </c>
      <c r="H41" s="2">
        <f>197+120+350+850+800</f>
        <v>2317</v>
      </c>
      <c r="I41" s="2">
        <f>125+388+100+1200+2750+700+710</f>
        <v>5973</v>
      </c>
      <c r="J41" s="2">
        <v>0</v>
      </c>
      <c r="K41" s="2">
        <f>274+144+72+2100</f>
        <v>2590</v>
      </c>
      <c r="L41" s="2">
        <f>125+575+500</f>
        <v>1200</v>
      </c>
      <c r="M41" s="2">
        <f>300+175+340</f>
        <v>815</v>
      </c>
      <c r="N41" s="2">
        <f>125</f>
        <v>125</v>
      </c>
      <c r="O41" s="2">
        <v>0</v>
      </c>
      <c r="P41" s="2">
        <f>190</f>
        <v>190</v>
      </c>
      <c r="Q41" s="2">
        <f>600+162+745+3653+137+100</f>
        <v>5397</v>
      </c>
      <c r="R41" s="2"/>
      <c r="S41" s="2"/>
      <c r="T41" s="2"/>
      <c r="U41" s="2"/>
    </row>
    <row r="42" spans="1:21" x14ac:dyDescent="0.2">
      <c r="A42" s="2" t="s">
        <v>3</v>
      </c>
      <c r="B42" s="45" t="s">
        <v>207</v>
      </c>
      <c r="C42" s="2" t="s">
        <v>97</v>
      </c>
      <c r="D42" s="25">
        <f>4000+900+300</f>
        <v>5200</v>
      </c>
      <c r="E42" s="25">
        <f t="shared" si="2"/>
        <v>1780</v>
      </c>
      <c r="F42" s="2">
        <v>1000</v>
      </c>
      <c r="G42" s="2">
        <v>1000</v>
      </c>
      <c r="H42" s="2">
        <v>1000</v>
      </c>
      <c r="I42" s="2">
        <v>1000</v>
      </c>
      <c r="J42" s="2">
        <v>1000</v>
      </c>
      <c r="K42" s="2">
        <v>1000</v>
      </c>
      <c r="L42" s="2">
        <v>1000</v>
      </c>
      <c r="M42" s="2">
        <f>1000+300+300+500+1000+260+400+2200+2000+400</f>
        <v>8360</v>
      </c>
      <c r="N42" s="2">
        <v>1000</v>
      </c>
      <c r="O42" s="2">
        <f>1000+200+300</f>
        <v>1500</v>
      </c>
      <c r="P42" s="2">
        <f>1000+300+700</f>
        <v>2000</v>
      </c>
      <c r="Q42" s="2">
        <f>1000+300+1200</f>
        <v>2500</v>
      </c>
      <c r="R42" s="2"/>
      <c r="S42" s="2"/>
      <c r="T42" s="2"/>
      <c r="U42" s="2"/>
    </row>
    <row r="43" spans="1:21" x14ac:dyDescent="0.2">
      <c r="A43" s="2" t="s">
        <v>3</v>
      </c>
      <c r="B43" s="38" t="s">
        <v>223</v>
      </c>
      <c r="C43" s="2" t="s">
        <v>117</v>
      </c>
      <c r="D43" s="25">
        <v>8000</v>
      </c>
      <c r="E43" s="25">
        <f t="shared" si="2"/>
        <v>18708</v>
      </c>
      <c r="F43" s="2">
        <f>0-F37-F25-F31-F38</f>
        <v>0</v>
      </c>
      <c r="G43" s="2">
        <f>18561-G37-G25-G31-G38</f>
        <v>9561</v>
      </c>
      <c r="H43" s="2">
        <f>22403-H37-H25-H31-H38</f>
        <v>13403</v>
      </c>
      <c r="I43" s="2">
        <f>17233-I37-I25-I31-I38</f>
        <v>4911</v>
      </c>
      <c r="J43" s="2">
        <f>37316-J37-J25-J31-J38</f>
        <v>28316</v>
      </c>
      <c r="K43" s="2">
        <f>40599-K37-K25-K31-K38</f>
        <v>31599</v>
      </c>
      <c r="L43" s="2">
        <f>45190-L37-L25-L31-L38</f>
        <v>36190</v>
      </c>
      <c r="M43" s="2">
        <f>26778-M37-M25-M31-M38</f>
        <v>14071</v>
      </c>
      <c r="N43" s="2">
        <f>22442-N37-N38</f>
        <v>4687</v>
      </c>
      <c r="O43" s="2">
        <f>21812-O37-O38</f>
        <v>12812</v>
      </c>
      <c r="P43" s="2">
        <f>34798-P37-P38</f>
        <v>25798</v>
      </c>
      <c r="Q43" s="2">
        <f>52151-Q37-Q38</f>
        <v>43151</v>
      </c>
      <c r="R43" s="2"/>
      <c r="S43" s="2"/>
      <c r="T43" s="2"/>
      <c r="U43" s="2"/>
    </row>
    <row r="44" spans="1:21" x14ac:dyDescent="0.2">
      <c r="B44" s="4" t="s">
        <v>224</v>
      </c>
      <c r="C44" s="11"/>
      <c r="D44" s="52">
        <f>SUM(D9:D43)</f>
        <v>54089</v>
      </c>
      <c r="E44" s="25">
        <f>SUM(E9:E43)</f>
        <v>49034</v>
      </c>
      <c r="F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2">
      <c r="B45" s="4" t="s">
        <v>225</v>
      </c>
      <c r="C45" s="2"/>
      <c r="D45" s="38">
        <f>D4</f>
        <v>56000</v>
      </c>
      <c r="E45" s="2"/>
      <c r="F45" s="2"/>
      <c r="H45" s="2"/>
      <c r="I45" s="2"/>
      <c r="J45" s="2"/>
      <c r="K45" s="2">
        <v>0</v>
      </c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2">
      <c r="B46" s="38" t="s">
        <v>226</v>
      </c>
      <c r="C46" s="2"/>
      <c r="D46" s="2">
        <f>D45-D44</f>
        <v>1911</v>
      </c>
      <c r="E46" s="2"/>
      <c r="F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2">
      <c r="B47" s="2"/>
      <c r="C47" s="2"/>
      <c r="D47" s="2"/>
      <c r="E47" s="2"/>
      <c r="F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2">
      <c r="B48" s="11" t="s">
        <v>109</v>
      </c>
      <c r="C48" s="11"/>
      <c r="D48" s="9"/>
      <c r="E48" s="2">
        <f>E37+E43</f>
        <v>27261</v>
      </c>
      <c r="F48" s="2">
        <f>F37+F43</f>
        <v>0</v>
      </c>
      <c r="G48" s="2">
        <f>G30+H43</f>
        <v>14242</v>
      </c>
      <c r="H48" s="2">
        <f>H37+I43</f>
        <v>13911</v>
      </c>
      <c r="I48" s="2">
        <f t="shared" ref="I48:P48" si="3">I37+I43</f>
        <v>17233</v>
      </c>
      <c r="J48" s="2">
        <f t="shared" si="3"/>
        <v>37316</v>
      </c>
      <c r="K48" s="2">
        <f t="shared" si="3"/>
        <v>40599</v>
      </c>
      <c r="L48" s="2">
        <f t="shared" si="3"/>
        <v>45190</v>
      </c>
      <c r="M48" s="2">
        <f t="shared" si="3"/>
        <v>23436</v>
      </c>
      <c r="N48" s="2">
        <f t="shared" si="3"/>
        <v>13632</v>
      </c>
      <c r="O48" s="2">
        <f t="shared" si="3"/>
        <v>21812</v>
      </c>
      <c r="P48" s="2">
        <f t="shared" si="3"/>
        <v>34798</v>
      </c>
      <c r="Q48" s="2"/>
      <c r="R48" s="2"/>
      <c r="S48" s="2"/>
      <c r="T48" s="2"/>
      <c r="U48" s="2"/>
    </row>
    <row r="49" spans="2:21" x14ac:dyDescent="0.2">
      <c r="B49" s="11" t="s">
        <v>110</v>
      </c>
      <c r="C49" s="2"/>
      <c r="D49" s="2"/>
      <c r="E49" s="2"/>
      <c r="F49" s="2">
        <v>0</v>
      </c>
      <c r="G49" s="2">
        <v>0</v>
      </c>
      <c r="H49" s="2"/>
      <c r="I49" s="2"/>
      <c r="J49" s="2"/>
      <c r="K49" s="14"/>
      <c r="L49" s="14"/>
      <c r="M49" s="2"/>
      <c r="N49" s="2">
        <v>0</v>
      </c>
      <c r="O49" s="2">
        <v>0</v>
      </c>
      <c r="P49" s="2"/>
      <c r="Q49" s="2"/>
      <c r="R49" s="2"/>
      <c r="S49" s="2"/>
      <c r="T49" s="2"/>
      <c r="U49" s="2"/>
    </row>
    <row r="50" spans="2:21" x14ac:dyDescent="0.2">
      <c r="B50" s="11" t="s">
        <v>166</v>
      </c>
      <c r="C50" s="11"/>
      <c r="D50" s="2"/>
      <c r="E50" s="2"/>
      <c r="F50" s="2">
        <v>0</v>
      </c>
      <c r="G50" s="2">
        <v>0</v>
      </c>
      <c r="H50" s="10"/>
      <c r="I50" s="2"/>
      <c r="J50" s="2"/>
      <c r="K50" s="2"/>
      <c r="L50" s="2"/>
      <c r="M50" s="2"/>
      <c r="N50" s="2">
        <v>0</v>
      </c>
      <c r="O50" s="2">
        <v>0</v>
      </c>
      <c r="P50" s="2"/>
      <c r="Q50" s="2"/>
      <c r="R50" s="2"/>
      <c r="S50" s="2"/>
      <c r="T50" s="2"/>
      <c r="U50" s="2"/>
    </row>
    <row r="51" spans="2:21" x14ac:dyDescent="0.2">
      <c r="B51" s="11" t="s">
        <v>167</v>
      </c>
      <c r="C51" s="11"/>
      <c r="D51" s="2"/>
      <c r="E51" s="2"/>
      <c r="F51" s="2">
        <v>0</v>
      </c>
      <c r="G51" s="2">
        <v>0</v>
      </c>
      <c r="H51" s="10"/>
      <c r="I51" s="2">
        <v>0</v>
      </c>
      <c r="J51" s="2"/>
      <c r="K51" s="2"/>
      <c r="L51" s="2"/>
      <c r="M51" s="2"/>
      <c r="N51" s="2">
        <v>0</v>
      </c>
      <c r="O51" s="2"/>
      <c r="P51" s="2"/>
      <c r="Q51" s="2"/>
      <c r="R51" s="2"/>
      <c r="S51" s="2"/>
      <c r="T51" s="2"/>
      <c r="U51" s="2"/>
    </row>
    <row r="52" spans="2:21" x14ac:dyDescent="0.2">
      <c r="B52" s="11" t="s">
        <v>26</v>
      </c>
      <c r="C52" s="11"/>
      <c r="D52" s="2"/>
      <c r="E52" s="2"/>
      <c r="F52" s="2"/>
      <c r="H52" s="2"/>
      <c r="I52" s="2"/>
      <c r="J52" s="2"/>
      <c r="K52" s="2"/>
      <c r="L52" s="2"/>
      <c r="M52" s="2"/>
      <c r="N52" s="2">
        <f>SUM(N49:N51)</f>
        <v>0</v>
      </c>
      <c r="O52" s="2">
        <f>SUM(O49:O51)</f>
        <v>0</v>
      </c>
      <c r="P52" s="2"/>
      <c r="Q52" s="2"/>
      <c r="R52" s="2"/>
      <c r="S52" s="2"/>
      <c r="T52" s="2"/>
      <c r="U52" s="2"/>
    </row>
    <row r="53" spans="2:21" x14ac:dyDescent="0.2">
      <c r="B53" s="11"/>
      <c r="C53" s="11"/>
      <c r="D53" s="2"/>
      <c r="E53" s="2"/>
      <c r="F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2:21" x14ac:dyDescent="0.2">
      <c r="B54" s="2"/>
      <c r="C54" s="2"/>
      <c r="D54" s="2"/>
      <c r="E54" s="2"/>
      <c r="F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2:21" x14ac:dyDescent="0.2">
      <c r="B55" s="2"/>
      <c r="C55" s="2"/>
      <c r="D55" s="2"/>
      <c r="E55" s="2"/>
      <c r="F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2:21" x14ac:dyDescent="0.2">
      <c r="B56" s="2"/>
      <c r="C56" s="2"/>
      <c r="D56" s="2"/>
      <c r="E56" s="2"/>
      <c r="F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2:21" x14ac:dyDescent="0.2">
      <c r="B57" s="2"/>
      <c r="C57" s="2"/>
      <c r="D57" s="2"/>
      <c r="E57" s="2"/>
      <c r="F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2:21" x14ac:dyDescent="0.2">
      <c r="B58" s="2"/>
      <c r="C58" s="2"/>
      <c r="D58" s="2"/>
      <c r="E58" s="2"/>
      <c r="F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2:21" x14ac:dyDescent="0.2">
      <c r="B59" s="11" t="s">
        <v>119</v>
      </c>
      <c r="C59" s="2" t="s">
        <v>131</v>
      </c>
      <c r="D59" s="2"/>
      <c r="E59" s="2"/>
      <c r="F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2:21" x14ac:dyDescent="0.2">
      <c r="B60" s="2" t="s">
        <v>113</v>
      </c>
      <c r="C60" s="2">
        <f>SUM(D9:D32)</f>
        <v>28359</v>
      </c>
      <c r="D60" s="2"/>
      <c r="E60" s="2"/>
      <c r="F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2:21" x14ac:dyDescent="0.2">
      <c r="B61" s="2" t="s">
        <v>120</v>
      </c>
      <c r="C61" s="2">
        <f>SUM(D33:D36)</f>
        <v>2463</v>
      </c>
      <c r="D61" s="2"/>
      <c r="E61" s="2"/>
      <c r="F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2:21" x14ac:dyDescent="0.2">
      <c r="B62" s="2" t="s">
        <v>114</v>
      </c>
      <c r="C62" s="2">
        <f>SUM(D26:D29)</f>
        <v>5952</v>
      </c>
      <c r="D62" s="2"/>
      <c r="E62" s="2"/>
      <c r="F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2:21" x14ac:dyDescent="0.2">
      <c r="B63" s="2" t="s">
        <v>27</v>
      </c>
      <c r="C63" s="2">
        <f>D37</f>
        <v>9900</v>
      </c>
      <c r="D63" s="2"/>
      <c r="E63" s="2"/>
      <c r="F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2:21" x14ac:dyDescent="0.2">
      <c r="B64" s="2" t="s">
        <v>127</v>
      </c>
      <c r="C64" s="2">
        <f>D42</f>
        <v>5200</v>
      </c>
      <c r="D64" s="2"/>
      <c r="E64" s="2"/>
      <c r="F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2:21" x14ac:dyDescent="0.2">
      <c r="B65" s="2" t="s">
        <v>122</v>
      </c>
      <c r="C65" s="2">
        <f>D43</f>
        <v>8000</v>
      </c>
      <c r="D65" s="2"/>
      <c r="E65" s="2"/>
      <c r="F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2:21" x14ac:dyDescent="0.2">
      <c r="B66" s="2" t="s">
        <v>44</v>
      </c>
      <c r="C66" s="2">
        <f>SUM(C60:C65)</f>
        <v>59874</v>
      </c>
      <c r="D66" s="2"/>
      <c r="E66" s="2"/>
      <c r="F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2:21" x14ac:dyDescent="0.2">
      <c r="B67" s="2"/>
      <c r="C67" s="2"/>
      <c r="D67" s="2"/>
      <c r="E67" s="2"/>
      <c r="F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2:21" x14ac:dyDescent="0.2">
      <c r="B68" s="2" t="s">
        <v>126</v>
      </c>
      <c r="C68" s="9">
        <v>49400</v>
      </c>
      <c r="D68" s="2"/>
      <c r="E68" s="2"/>
      <c r="F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2:21" x14ac:dyDescent="0.2">
      <c r="B69" s="2"/>
      <c r="C69" s="2"/>
      <c r="D69" s="2"/>
      <c r="E69" s="2"/>
      <c r="F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2:21" x14ac:dyDescent="0.2">
      <c r="B70" s="2"/>
      <c r="C70" s="2"/>
      <c r="D70" s="2"/>
      <c r="E70" s="2"/>
      <c r="F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2:21" x14ac:dyDescent="0.2">
      <c r="B71" s="2"/>
      <c r="C71" s="2"/>
      <c r="D71" s="2"/>
      <c r="E71" s="2"/>
      <c r="F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2:21" x14ac:dyDescent="0.2">
      <c r="B72" s="2" t="s">
        <v>128</v>
      </c>
      <c r="C72" s="2"/>
      <c r="D72" s="2"/>
      <c r="E72" s="2"/>
      <c r="F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2:21" x14ac:dyDescent="0.2">
      <c r="B73" s="2" t="s">
        <v>129</v>
      </c>
      <c r="C73" s="2">
        <f>45500</f>
        <v>45500</v>
      </c>
      <c r="D73" s="2"/>
      <c r="E73" s="2"/>
      <c r="F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2:21" x14ac:dyDescent="0.2">
      <c r="B74" s="2"/>
      <c r="C74" s="2"/>
      <c r="D74" s="2"/>
      <c r="E74" s="2"/>
      <c r="F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2:21" x14ac:dyDescent="0.2">
      <c r="B75" s="2"/>
      <c r="C75" s="2"/>
      <c r="D75" s="2"/>
      <c r="E75" s="2"/>
      <c r="F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2:21" x14ac:dyDescent="0.2">
      <c r="B76" s="2"/>
      <c r="C76" s="2"/>
      <c r="D76" s="2"/>
      <c r="E76" s="2"/>
      <c r="F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2:21" x14ac:dyDescent="0.2">
      <c r="B77" s="2"/>
      <c r="C77" s="2"/>
      <c r="D77" s="2"/>
      <c r="E77" s="2"/>
      <c r="F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2:21" x14ac:dyDescent="0.2">
      <c r="B78" s="2"/>
      <c r="C78" s="2"/>
      <c r="D78" s="2"/>
      <c r="E78" s="2"/>
      <c r="F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2:21" x14ac:dyDescent="0.2">
      <c r="B79" s="2"/>
      <c r="C79" s="2"/>
      <c r="D79" s="2" t="s">
        <v>92</v>
      </c>
      <c r="E79" s="2" t="s">
        <v>93</v>
      </c>
      <c r="F79" s="2"/>
      <c r="H79" s="14">
        <v>3000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2:21" x14ac:dyDescent="0.2">
      <c r="B80" s="2" t="s">
        <v>90</v>
      </c>
      <c r="C80" s="2"/>
      <c r="D80" s="2">
        <v>1248</v>
      </c>
      <c r="E80" s="2">
        <f>D80/12</f>
        <v>104</v>
      </c>
      <c r="F80" s="2"/>
      <c r="H80" s="34">
        <v>252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2:21" x14ac:dyDescent="0.2">
      <c r="B81" s="2" t="s">
        <v>91</v>
      </c>
      <c r="C81" s="2"/>
      <c r="D81" s="2">
        <v>1332</v>
      </c>
      <c r="E81" s="2">
        <f>D81/12</f>
        <v>111</v>
      </c>
      <c r="F81" s="2"/>
      <c r="H81" s="34">
        <v>880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2:21" x14ac:dyDescent="0.2">
      <c r="B82" s="11" t="s">
        <v>94</v>
      </c>
      <c r="C82" s="11"/>
      <c r="D82" s="11">
        <f>D80+D81</f>
        <v>2580</v>
      </c>
      <c r="E82" s="11">
        <f>E80+E81</f>
        <v>215</v>
      </c>
      <c r="F82" s="11"/>
      <c r="H82" s="34">
        <v>1200</v>
      </c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2"/>
    </row>
    <row r="83" spans="2:21" x14ac:dyDescent="0.2">
      <c r="B83" s="2"/>
      <c r="C83" s="2"/>
      <c r="D83" s="2"/>
      <c r="E83" s="2"/>
      <c r="F83" s="2"/>
      <c r="H83" s="2">
        <f>H79+H80+H81+H82</f>
        <v>5332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2:21" x14ac:dyDescent="0.2">
      <c r="B84" s="4"/>
      <c r="C84" s="4"/>
      <c r="D84" s="2"/>
      <c r="E84" s="2"/>
      <c r="F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2:21" x14ac:dyDescent="0.2">
      <c r="B85" s="2"/>
      <c r="C85" s="2"/>
      <c r="D85" s="2"/>
      <c r="E85" s="2"/>
      <c r="F85" s="2"/>
      <c r="H85" s="2"/>
      <c r="I85" s="2"/>
      <c r="J85" s="2"/>
      <c r="K85" s="9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2:21" x14ac:dyDescent="0.2">
      <c r="B86" s="2"/>
      <c r="C86" s="2"/>
      <c r="D86" s="2" t="s">
        <v>92</v>
      </c>
      <c r="E86" s="2" t="s">
        <v>93</v>
      </c>
      <c r="F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2:21" x14ac:dyDescent="0.2">
      <c r="B87" s="2" t="s">
        <v>95</v>
      </c>
      <c r="C87" s="2"/>
      <c r="D87" s="2">
        <f>E87*12</f>
        <v>4140</v>
      </c>
      <c r="E87" s="2">
        <v>345</v>
      </c>
      <c r="F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2:21" x14ac:dyDescent="0.2">
      <c r="B88" s="2" t="s">
        <v>96</v>
      </c>
      <c r="C88" s="2"/>
      <c r="D88" s="2">
        <f>E88*12</f>
        <v>3228</v>
      </c>
      <c r="E88" s="2">
        <v>269</v>
      </c>
      <c r="F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2:21" x14ac:dyDescent="0.2">
      <c r="B89" s="11" t="s">
        <v>94</v>
      </c>
      <c r="C89" s="11"/>
      <c r="D89" s="11">
        <f>D87+D88</f>
        <v>7368</v>
      </c>
      <c r="E89" s="11">
        <f>E87+E88</f>
        <v>614</v>
      </c>
      <c r="F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2"/>
    </row>
    <row r="90" spans="2:21" x14ac:dyDescent="0.2">
      <c r="B90" s="2"/>
      <c r="C90" s="2"/>
      <c r="D90" s="2"/>
      <c r="E90" s="2"/>
      <c r="F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2:21" x14ac:dyDescent="0.2">
      <c r="B91" s="2"/>
      <c r="C91" s="2"/>
      <c r="D91" s="2"/>
      <c r="E91" s="2"/>
      <c r="F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2:21" x14ac:dyDescent="0.2">
      <c r="B92" s="2"/>
      <c r="C92" s="2"/>
      <c r="D92" s="2"/>
      <c r="E92" s="2"/>
      <c r="F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2:21" x14ac:dyDescent="0.2">
      <c r="B93" s="2"/>
      <c r="C93" s="2"/>
      <c r="D93" s="2"/>
      <c r="E93" s="2"/>
      <c r="F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2:21" x14ac:dyDescent="0.2">
      <c r="B94" s="2"/>
      <c r="C94" s="2"/>
      <c r="D94" s="2"/>
      <c r="E94" s="2"/>
      <c r="F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2:21" x14ac:dyDescent="0.2">
      <c r="B95" s="2" t="s">
        <v>99</v>
      </c>
      <c r="C95" s="2"/>
      <c r="D95" s="2"/>
      <c r="E95" s="2" t="s">
        <v>132</v>
      </c>
      <c r="F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2:21" x14ac:dyDescent="0.2">
      <c r="B96" s="2"/>
      <c r="C96" s="2"/>
      <c r="D96" s="2"/>
      <c r="E96" s="2"/>
      <c r="F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2:21" x14ac:dyDescent="0.2">
      <c r="B97" s="2" t="s">
        <v>19</v>
      </c>
      <c r="C97" s="2">
        <f>D26</f>
        <v>2900</v>
      </c>
      <c r="D97" s="2"/>
      <c r="E97" s="2"/>
      <c r="F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2:21" x14ac:dyDescent="0.2">
      <c r="B98" s="2" t="s">
        <v>31</v>
      </c>
      <c r="C98" s="2">
        <f>D27</f>
        <v>252</v>
      </c>
      <c r="D98" s="2"/>
      <c r="E98" s="2"/>
      <c r="F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2:21" x14ac:dyDescent="0.2">
      <c r="B99" s="2" t="s">
        <v>35</v>
      </c>
      <c r="C99" s="2">
        <f>D28</f>
        <v>900</v>
      </c>
      <c r="D99" s="2"/>
      <c r="E99" s="2"/>
      <c r="F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2:21" x14ac:dyDescent="0.2">
      <c r="B100" s="2" t="s">
        <v>54</v>
      </c>
      <c r="C100" s="2">
        <f>D29</f>
        <v>1900</v>
      </c>
      <c r="D100" s="2"/>
      <c r="E100" s="2"/>
      <c r="F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2:21" x14ac:dyDescent="0.2">
      <c r="B101" s="2"/>
      <c r="C101" s="2"/>
      <c r="D101" s="2"/>
      <c r="E101" s="2"/>
      <c r="F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2:21" x14ac:dyDescent="0.2">
      <c r="B102" s="2" t="s">
        <v>26</v>
      </c>
      <c r="C102" s="2">
        <f>SUM(C97:C100)</f>
        <v>5952</v>
      </c>
      <c r="D102" s="2"/>
      <c r="E102" s="2"/>
      <c r="F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2:21" x14ac:dyDescent="0.2">
      <c r="B103" s="2"/>
      <c r="C103" s="2"/>
      <c r="D103" s="2"/>
      <c r="E103" s="2"/>
      <c r="F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2:21" x14ac:dyDescent="0.2">
      <c r="B104" s="2"/>
      <c r="C104" s="2"/>
      <c r="D104" s="2"/>
      <c r="E104" s="2"/>
      <c r="F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2:21" x14ac:dyDescent="0.2">
      <c r="B105" s="2" t="s">
        <v>107</v>
      </c>
      <c r="C105" s="2"/>
      <c r="D105" s="2"/>
      <c r="E105" s="2"/>
      <c r="F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2:21" x14ac:dyDescent="0.2">
      <c r="B106" s="2" t="s">
        <v>108</v>
      </c>
      <c r="C106" s="2"/>
      <c r="D106" s="2"/>
      <c r="E106" s="2"/>
      <c r="F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2:21" x14ac:dyDescent="0.2">
      <c r="B107" s="2"/>
      <c r="C107" s="2"/>
      <c r="D107" s="2"/>
      <c r="E107" s="2"/>
      <c r="F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2:21" x14ac:dyDescent="0.2">
      <c r="B108" s="11"/>
      <c r="C108" s="11" t="s">
        <v>134</v>
      </c>
      <c r="D108" s="11" t="s">
        <v>135</v>
      </c>
      <c r="E108" s="11" t="s">
        <v>136</v>
      </c>
      <c r="F108" s="11" t="s">
        <v>137</v>
      </c>
      <c r="G108" s="2" t="s">
        <v>138</v>
      </c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2"/>
    </row>
    <row r="109" spans="2:21" x14ac:dyDescent="0.2">
      <c r="B109" s="2" t="s">
        <v>133</v>
      </c>
      <c r="C109" s="2" t="s">
        <v>149</v>
      </c>
      <c r="D109" s="2" t="s">
        <v>140</v>
      </c>
      <c r="E109" s="2" t="s">
        <v>149</v>
      </c>
      <c r="F109" s="2" t="s">
        <v>140</v>
      </c>
      <c r="G109" s="2" t="s">
        <v>140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2:21" x14ac:dyDescent="0.2">
      <c r="B110" s="2" t="s">
        <v>139</v>
      </c>
      <c r="C110" s="2" t="s">
        <v>140</v>
      </c>
      <c r="D110" s="2" t="s">
        <v>149</v>
      </c>
      <c r="E110" s="2" t="s">
        <v>140</v>
      </c>
      <c r="F110" s="2" t="s">
        <v>149</v>
      </c>
      <c r="G110" s="2" t="s">
        <v>149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2:21" x14ac:dyDescent="0.2">
      <c r="B111" s="2"/>
      <c r="C111" s="2"/>
      <c r="D111" s="2"/>
      <c r="E111" s="2"/>
      <c r="F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2:21" x14ac:dyDescent="0.2">
      <c r="B112" s="2" t="s">
        <v>144</v>
      </c>
      <c r="C112" s="2">
        <v>700</v>
      </c>
      <c r="D112" s="2"/>
      <c r="E112" s="2"/>
      <c r="F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2:21" x14ac:dyDescent="0.2">
      <c r="B113" s="2" t="s">
        <v>141</v>
      </c>
      <c r="C113" s="2">
        <v>-1000</v>
      </c>
      <c r="D113" s="2"/>
      <c r="E113" s="2"/>
      <c r="F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2:21" x14ac:dyDescent="0.2">
      <c r="B114" s="2" t="s">
        <v>142</v>
      </c>
      <c r="C114" s="2">
        <v>-406</v>
      </c>
      <c r="D114" s="2"/>
      <c r="E114" s="2"/>
      <c r="F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2:21" x14ac:dyDescent="0.2">
      <c r="B115" s="2" t="s">
        <v>143</v>
      </c>
      <c r="C115" s="2">
        <v>-150</v>
      </c>
      <c r="D115" s="2"/>
      <c r="E115" s="2"/>
      <c r="F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2:21" x14ac:dyDescent="0.2">
      <c r="B116" s="2" t="s">
        <v>145</v>
      </c>
      <c r="C116" s="2">
        <v>-550</v>
      </c>
      <c r="D116" s="2"/>
      <c r="E116" s="2"/>
      <c r="F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2:21" x14ac:dyDescent="0.2">
      <c r="B117" s="11" t="s">
        <v>146</v>
      </c>
      <c r="C117" s="11">
        <f>SUM(C112:C116)</f>
        <v>-1406</v>
      </c>
      <c r="D117" s="11"/>
      <c r="E117" s="11"/>
      <c r="F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2"/>
    </row>
    <row r="118" spans="2:21" x14ac:dyDescent="0.2">
      <c r="B118" s="2"/>
      <c r="C118" s="2"/>
      <c r="D118" s="2"/>
      <c r="E118" s="2"/>
      <c r="F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2:21" x14ac:dyDescent="0.2">
      <c r="B119" s="2"/>
      <c r="C119" s="2"/>
      <c r="D119" s="2"/>
      <c r="E119" s="2"/>
      <c r="F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2:21" x14ac:dyDescent="0.2">
      <c r="B120" s="2" t="s">
        <v>104</v>
      </c>
      <c r="C120" s="2">
        <v>5</v>
      </c>
      <c r="D120" s="2"/>
      <c r="E120" s="2"/>
      <c r="F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2:21" x14ac:dyDescent="0.2">
      <c r="B121" s="2" t="s">
        <v>103</v>
      </c>
      <c r="C121" s="2">
        <v>0.06</v>
      </c>
      <c r="D121" s="2"/>
      <c r="E121" s="2"/>
      <c r="F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2:21" x14ac:dyDescent="0.2">
      <c r="B122" s="2" t="s">
        <v>100</v>
      </c>
      <c r="C122" s="2">
        <f>50000</f>
        <v>50000</v>
      </c>
      <c r="D122" s="2" t="s">
        <v>102</v>
      </c>
      <c r="E122" s="2" t="s">
        <v>105</v>
      </c>
      <c r="F122" s="2" t="s">
        <v>103</v>
      </c>
      <c r="G122" s="2" t="s">
        <v>44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2:21" x14ac:dyDescent="0.2">
      <c r="B123" s="2" t="s">
        <v>101</v>
      </c>
      <c r="C123" s="2"/>
      <c r="D123" s="2">
        <v>50000</v>
      </c>
      <c r="E123" s="2">
        <f>D123/C120/12</f>
        <v>833.33333333333337</v>
      </c>
      <c r="F123" s="2">
        <f>((D123*C121)/12)*0.7</f>
        <v>175</v>
      </c>
      <c r="G123" s="2">
        <f>E123+F123</f>
        <v>1008.3333333333334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2:21" x14ac:dyDescent="0.2">
      <c r="B124" s="2" t="s">
        <v>106</v>
      </c>
      <c r="C124" s="2"/>
      <c r="D124" s="2">
        <v>100000</v>
      </c>
      <c r="E124" s="2">
        <f>D124/C120/12</f>
        <v>1666.6666666666667</v>
      </c>
      <c r="F124" s="2">
        <f>((D124*C121)/12)*0.7</f>
        <v>350</v>
      </c>
      <c r="G124" s="2">
        <f>E124+F124</f>
        <v>2016.6666666666667</v>
      </c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2:21" x14ac:dyDescent="0.2">
      <c r="B125" s="2"/>
      <c r="C125" s="2"/>
      <c r="D125" s="2"/>
      <c r="E125" s="2"/>
      <c r="F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2:21" x14ac:dyDescent="0.2">
      <c r="B126" s="2"/>
      <c r="C126" s="2"/>
      <c r="D126" s="2"/>
      <c r="E126" s="2"/>
      <c r="F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2:21" x14ac:dyDescent="0.2">
      <c r="B127" s="2"/>
      <c r="C127" s="2"/>
      <c r="D127" s="2"/>
      <c r="E127" s="2"/>
      <c r="F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2:21" x14ac:dyDescent="0.2">
      <c r="B128" s="2"/>
      <c r="C128" s="2"/>
      <c r="D128" s="2"/>
      <c r="E128" s="2"/>
      <c r="F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2:21" x14ac:dyDescent="0.2">
      <c r="B129" s="2"/>
      <c r="C129" s="2"/>
      <c r="D129" s="2"/>
      <c r="E129" s="2"/>
      <c r="F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2:21" x14ac:dyDescent="0.2">
      <c r="B130" s="2"/>
      <c r="C130" s="2"/>
      <c r="D130" s="2"/>
      <c r="E130" s="2"/>
      <c r="F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2:21" x14ac:dyDescent="0.2">
      <c r="B131" s="2"/>
      <c r="C131" s="2"/>
      <c r="D131" s="2"/>
      <c r="E131" s="2"/>
      <c r="F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2:21" x14ac:dyDescent="0.2">
      <c r="B132" s="2"/>
      <c r="C132" s="2"/>
      <c r="D132" s="2"/>
      <c r="E132" s="2"/>
      <c r="F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2:21" x14ac:dyDescent="0.2">
      <c r="B133" s="2"/>
      <c r="C133" s="2"/>
      <c r="D133" s="2"/>
      <c r="E133" s="2"/>
      <c r="F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2:21" x14ac:dyDescent="0.2">
      <c r="B134" s="2"/>
      <c r="C134" s="2"/>
      <c r="D134" s="2"/>
      <c r="E134" s="2"/>
      <c r="F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2:21" x14ac:dyDescent="0.2">
      <c r="B135" s="2"/>
      <c r="C135" s="2"/>
      <c r="D135" s="2"/>
      <c r="E135" s="2"/>
      <c r="F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</sheetData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9"/>
  <sheetViews>
    <sheetView workbookViewId="0">
      <selection activeCell="I12" sqref="I12"/>
    </sheetView>
  </sheetViews>
  <sheetFormatPr defaultRowHeight="12.75" x14ac:dyDescent="0.2"/>
  <cols>
    <col min="1" max="1" width="32.28515625" customWidth="1"/>
    <col min="5" max="8" width="0" hidden="1" customWidth="1"/>
  </cols>
  <sheetData>
    <row r="1" spans="1:20" x14ac:dyDescent="0.2">
      <c r="A1" s="2" t="s">
        <v>46</v>
      </c>
      <c r="B1" s="2"/>
      <c r="C1" s="2"/>
      <c r="D1" s="2"/>
      <c r="E1" s="2"/>
      <c r="F1" s="2"/>
      <c r="G1" s="2" t="s">
        <v>46</v>
      </c>
      <c r="H1" s="2" t="s">
        <v>46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2">
      <c r="A2" s="2"/>
      <c r="B2" s="2"/>
      <c r="C2" s="2"/>
      <c r="D2" s="2"/>
      <c r="E2" s="2"/>
      <c r="F2" s="2"/>
      <c r="G2" s="2" t="s">
        <v>46</v>
      </c>
      <c r="H2" s="2" t="s">
        <v>46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">
      <c r="A3" s="2" t="s">
        <v>46</v>
      </c>
      <c r="B3" s="2"/>
      <c r="C3" s="2"/>
      <c r="D3" s="2" t="s">
        <v>46</v>
      </c>
      <c r="E3" s="2" t="s">
        <v>46</v>
      </c>
      <c r="F3" s="23"/>
      <c r="G3" s="2"/>
      <c r="H3" s="2"/>
      <c r="I3" s="23"/>
      <c r="J3" s="2"/>
      <c r="K3" s="2"/>
      <c r="L3" s="2"/>
      <c r="M3" s="2"/>
      <c r="N3" s="2" t="s">
        <v>46</v>
      </c>
      <c r="O3" s="2" t="s">
        <v>46</v>
      </c>
      <c r="P3" s="2"/>
      <c r="Q3" s="2"/>
      <c r="R3" s="2"/>
      <c r="S3" s="2"/>
      <c r="T3" s="2"/>
    </row>
    <row r="4" spans="1:20" x14ac:dyDescent="0.2">
      <c r="A4" s="2"/>
      <c r="B4" s="2"/>
      <c r="C4" s="2" t="s">
        <v>46</v>
      </c>
      <c r="D4" s="2"/>
      <c r="E4" s="19" t="s">
        <v>46</v>
      </c>
      <c r="F4" s="2"/>
      <c r="G4" s="2" t="s">
        <v>46</v>
      </c>
      <c r="H4" s="2"/>
      <c r="I4" s="2"/>
      <c r="J4" s="2"/>
      <c r="K4" s="2"/>
      <c r="L4" s="17" t="s">
        <v>46</v>
      </c>
      <c r="M4" s="2" t="s">
        <v>46</v>
      </c>
      <c r="N4" s="2" t="s">
        <v>46</v>
      </c>
      <c r="O4" s="2" t="s">
        <v>46</v>
      </c>
      <c r="P4" s="2"/>
      <c r="Q4" s="2"/>
      <c r="R4" s="2"/>
      <c r="S4" s="2"/>
      <c r="T4" s="2"/>
    </row>
    <row r="5" spans="1:20" x14ac:dyDescent="0.2">
      <c r="A5" s="2" t="s">
        <v>51</v>
      </c>
      <c r="B5" s="2"/>
      <c r="C5" s="2"/>
      <c r="D5" s="2"/>
      <c r="E5" s="8"/>
      <c r="F5" s="2"/>
      <c r="G5" s="2"/>
      <c r="H5" s="2"/>
      <c r="I5" s="2"/>
      <c r="J5" s="2"/>
      <c r="K5" s="2"/>
      <c r="L5" s="2" t="s">
        <v>46</v>
      </c>
      <c r="M5" s="2" t="s">
        <v>46</v>
      </c>
      <c r="N5" s="2" t="s">
        <v>46</v>
      </c>
      <c r="O5" s="2" t="s">
        <v>46</v>
      </c>
      <c r="P5" s="2" t="s">
        <v>46</v>
      </c>
      <c r="Q5" s="2"/>
      <c r="R5" s="2"/>
      <c r="S5" s="2"/>
      <c r="T5" s="2"/>
    </row>
    <row r="6" spans="1:20" x14ac:dyDescent="0.2">
      <c r="A6" s="2" t="s">
        <v>18</v>
      </c>
      <c r="B6" s="2"/>
      <c r="C6" s="2">
        <v>7</v>
      </c>
      <c r="D6" s="2"/>
      <c r="E6" s="2"/>
      <c r="F6" s="1"/>
      <c r="G6" s="1"/>
      <c r="H6" s="2"/>
      <c r="I6" s="1"/>
      <c r="J6" s="1"/>
      <c r="K6" s="1"/>
      <c r="L6" s="1"/>
      <c r="M6" s="1"/>
      <c r="N6" s="1"/>
      <c r="O6" s="1"/>
      <c r="P6" s="2"/>
      <c r="Q6" s="2"/>
      <c r="R6" s="2"/>
      <c r="S6" s="2"/>
      <c r="T6" s="2"/>
    </row>
    <row r="7" spans="1:20" x14ac:dyDescent="0.2">
      <c r="A7" s="2" t="s">
        <v>79</v>
      </c>
      <c r="B7" s="2"/>
      <c r="C7" s="2"/>
      <c r="D7" s="2"/>
      <c r="E7" s="2"/>
      <c r="F7" s="1"/>
      <c r="G7" s="1"/>
      <c r="H7" s="2"/>
      <c r="I7" s="1"/>
      <c r="J7" s="1"/>
      <c r="K7" s="1"/>
      <c r="L7" s="1"/>
      <c r="M7" s="1" t="s">
        <v>46</v>
      </c>
      <c r="N7" s="1"/>
      <c r="O7" s="1"/>
      <c r="P7" s="2"/>
      <c r="Q7" s="2"/>
      <c r="R7" s="2"/>
      <c r="S7" s="2"/>
      <c r="T7" s="2"/>
    </row>
    <row r="8" spans="1:20" x14ac:dyDescent="0.2">
      <c r="A8" s="2" t="s">
        <v>29</v>
      </c>
      <c r="B8" s="2"/>
      <c r="C8" s="2"/>
      <c r="D8" s="2">
        <f>ROUND(SUM(E8:P8)/C6,0)</f>
        <v>94505</v>
      </c>
      <c r="E8" s="2">
        <f>31190+21906+1050</f>
        <v>54146</v>
      </c>
      <c r="F8" s="2">
        <f>31312+22369+1050</f>
        <v>54731</v>
      </c>
      <c r="G8" s="2">
        <f>30467+21196+1050</f>
        <v>52713</v>
      </c>
      <c r="H8" s="2">
        <f>37940+22268+1050</f>
        <v>61258</v>
      </c>
      <c r="I8" s="2">
        <f>30445+20442+1050</f>
        <v>51937</v>
      </c>
      <c r="J8" s="2">
        <f>33475+26161+1050</f>
        <v>60686</v>
      </c>
      <c r="K8" s="2">
        <f>30445+23143+1050</f>
        <v>54638</v>
      </c>
      <c r="L8" s="2">
        <f>30445+23143+1050</f>
        <v>54638</v>
      </c>
      <c r="M8" s="2">
        <f>31312+22268+1050</f>
        <v>54630</v>
      </c>
      <c r="N8" s="2">
        <f>31312+22268+1050</f>
        <v>54630</v>
      </c>
      <c r="O8" s="2">
        <f>30445+22268+1050</f>
        <v>53763</v>
      </c>
      <c r="P8" s="2">
        <f>30445+22268+1050</f>
        <v>53763</v>
      </c>
      <c r="Q8" s="2"/>
      <c r="R8" s="2"/>
      <c r="S8" s="2"/>
      <c r="T8" s="2"/>
    </row>
    <row r="9" spans="1:20" x14ac:dyDescent="0.2">
      <c r="A9" s="2" t="s">
        <v>32</v>
      </c>
      <c r="B9" s="2"/>
      <c r="C9" s="2"/>
      <c r="D9" s="33">
        <f>ROUND(SUM(E9:P9)/C6,0)</f>
        <v>-893</v>
      </c>
      <c r="E9" s="2">
        <f>E8-E11</f>
        <v>-15828</v>
      </c>
      <c r="F9" s="2">
        <f>F8-F11</f>
        <v>-47126</v>
      </c>
      <c r="G9" s="2">
        <f>G8-G11</f>
        <v>9816</v>
      </c>
      <c r="H9" s="2">
        <f t="shared" ref="H9:P9" si="0">H8-H11</f>
        <v>10283</v>
      </c>
      <c r="I9" s="2">
        <f t="shared" si="0"/>
        <v>-14074</v>
      </c>
      <c r="J9" s="2">
        <f t="shared" si="0"/>
        <v>16003</v>
      </c>
      <c r="K9" s="2">
        <f t="shared" si="0"/>
        <v>-20659</v>
      </c>
      <c r="L9" s="2">
        <f t="shared" si="0"/>
        <v>6153</v>
      </c>
      <c r="M9" s="2">
        <f t="shared" si="0"/>
        <v>8932</v>
      </c>
      <c r="N9" s="2">
        <f t="shared" si="0"/>
        <v>7353</v>
      </c>
      <c r="O9" s="2">
        <f t="shared" si="0"/>
        <v>7</v>
      </c>
      <c r="P9" s="2">
        <f t="shared" si="0"/>
        <v>32889</v>
      </c>
      <c r="Q9" s="2"/>
      <c r="R9" s="2"/>
      <c r="S9" s="2"/>
      <c r="T9" s="2"/>
    </row>
    <row r="10" spans="1:20" x14ac:dyDescent="0.2">
      <c r="A10" s="3" t="s">
        <v>0</v>
      </c>
      <c r="B10" s="3"/>
      <c r="C10" s="4" t="s">
        <v>1</v>
      </c>
      <c r="D10" s="7" t="s">
        <v>5</v>
      </c>
      <c r="E10" s="5" t="s">
        <v>6</v>
      </c>
      <c r="F10" s="5" t="s">
        <v>7</v>
      </c>
      <c r="G10" s="4" t="s">
        <v>8</v>
      </c>
      <c r="H10" s="5" t="s">
        <v>9</v>
      </c>
      <c r="I10" s="5" t="s">
        <v>10</v>
      </c>
      <c r="J10" s="5" t="s">
        <v>11</v>
      </c>
      <c r="K10" s="5" t="s">
        <v>12</v>
      </c>
      <c r="L10" s="5" t="s">
        <v>13</v>
      </c>
      <c r="M10" s="5" t="s">
        <v>14</v>
      </c>
      <c r="N10" s="5" t="s">
        <v>192</v>
      </c>
      <c r="O10" s="5" t="s">
        <v>16</v>
      </c>
      <c r="P10" s="5" t="s">
        <v>17</v>
      </c>
      <c r="Q10" s="3"/>
      <c r="R10" s="3"/>
      <c r="S10" s="2"/>
      <c r="T10" s="2"/>
    </row>
    <row r="11" spans="1:20" x14ac:dyDescent="0.2">
      <c r="A11" s="3" t="s">
        <v>26</v>
      </c>
      <c r="B11" s="2"/>
      <c r="C11" s="4"/>
      <c r="D11" s="2">
        <f>ROUND(SUM(E11:P11)/C6,0)</f>
        <v>95398</v>
      </c>
      <c r="E11" s="4">
        <f t="shared" ref="E11:P11" si="1">SUM(E12:E43)</f>
        <v>69974</v>
      </c>
      <c r="F11" s="4">
        <f t="shared" si="1"/>
        <v>101857</v>
      </c>
      <c r="G11" s="4">
        <f>SUM(G12:G43)</f>
        <v>42897</v>
      </c>
      <c r="H11" s="4">
        <f t="shared" si="1"/>
        <v>50975</v>
      </c>
      <c r="I11" s="4">
        <f t="shared" si="1"/>
        <v>66011</v>
      </c>
      <c r="J11" s="4">
        <f t="shared" si="1"/>
        <v>44683</v>
      </c>
      <c r="K11" s="4">
        <f t="shared" si="1"/>
        <v>75297</v>
      </c>
      <c r="L11" s="4">
        <f t="shared" si="1"/>
        <v>48485</v>
      </c>
      <c r="M11" s="4">
        <f t="shared" si="1"/>
        <v>45698</v>
      </c>
      <c r="N11" s="4">
        <f t="shared" si="1"/>
        <v>47277</v>
      </c>
      <c r="O11" s="4">
        <f t="shared" si="1"/>
        <v>53756</v>
      </c>
      <c r="P11" s="4">
        <f t="shared" si="1"/>
        <v>20874</v>
      </c>
      <c r="Q11" s="3"/>
      <c r="R11" s="3"/>
      <c r="S11" s="2"/>
      <c r="T11" s="2"/>
    </row>
    <row r="12" spans="1:20" x14ac:dyDescent="0.2">
      <c r="A12" s="2" t="s">
        <v>28</v>
      </c>
      <c r="B12" s="2" t="s">
        <v>113</v>
      </c>
      <c r="C12" s="37">
        <v>10300</v>
      </c>
      <c r="D12" s="25">
        <f>ROUND(SUM(E12:P12)/C6,0)</f>
        <v>11064</v>
      </c>
      <c r="E12" s="2">
        <v>6787</v>
      </c>
      <c r="F12" s="2">
        <v>6271</v>
      </c>
      <c r="G12" s="2">
        <v>6270</v>
      </c>
      <c r="H12" s="2">
        <v>6553</v>
      </c>
      <c r="I12" s="2">
        <v>6334</v>
      </c>
      <c r="J12" s="2">
        <v>6334</v>
      </c>
      <c r="K12" s="2">
        <v>6388</v>
      </c>
      <c r="L12" s="2">
        <v>6370</v>
      </c>
      <c r="M12" s="2">
        <v>6369</v>
      </c>
      <c r="N12" s="2">
        <v>6628</v>
      </c>
      <c r="O12" s="2">
        <v>6574</v>
      </c>
      <c r="P12" s="2">
        <v>6573</v>
      </c>
      <c r="Q12" s="2"/>
      <c r="R12" s="2"/>
      <c r="S12" s="2"/>
      <c r="T12" s="2"/>
    </row>
    <row r="13" spans="1:20" x14ac:dyDescent="0.2">
      <c r="A13" s="2" t="s">
        <v>168</v>
      </c>
      <c r="B13" s="2" t="s">
        <v>113</v>
      </c>
      <c r="C13" s="14">
        <v>2100</v>
      </c>
      <c r="D13" s="25">
        <f>ROUND(SUM(E13:P13)/C6,0)</f>
        <v>4027</v>
      </c>
      <c r="E13" s="2">
        <f>1731+6691</f>
        <v>8422</v>
      </c>
      <c r="F13" s="2">
        <v>0</v>
      </c>
      <c r="G13" s="2">
        <f>6133+1688</f>
        <v>7821</v>
      </c>
      <c r="H13" s="2">
        <v>0</v>
      </c>
      <c r="I13" s="2">
        <f>1118+3383</f>
        <v>4501</v>
      </c>
      <c r="J13" s="2">
        <v>0</v>
      </c>
      <c r="K13" s="2">
        <f>1612+742</f>
        <v>2354</v>
      </c>
      <c r="L13" s="2">
        <v>0</v>
      </c>
      <c r="M13" s="2">
        <f>720+1477</f>
        <v>2197</v>
      </c>
      <c r="N13" s="2">
        <v>0</v>
      </c>
      <c r="O13" s="2">
        <f>2059+837</f>
        <v>2896</v>
      </c>
      <c r="P13" s="2">
        <v>0</v>
      </c>
      <c r="Q13" s="2"/>
      <c r="R13" s="2"/>
      <c r="S13" s="2"/>
      <c r="T13" s="2"/>
    </row>
    <row r="14" spans="1:20" x14ac:dyDescent="0.2">
      <c r="A14" s="2" t="s">
        <v>169</v>
      </c>
      <c r="B14" s="2" t="s">
        <v>113</v>
      </c>
      <c r="C14" s="14">
        <v>500</v>
      </c>
      <c r="D14" s="25">
        <f>ROUND(SUM(E14:P14)/C6,0)</f>
        <v>944</v>
      </c>
      <c r="E14" s="2">
        <f>750-E15</f>
        <v>362</v>
      </c>
      <c r="F14" s="2">
        <f>1001-F15</f>
        <v>613</v>
      </c>
      <c r="G14" s="2">
        <f>762-G15+204</f>
        <v>578</v>
      </c>
      <c r="H14" s="2">
        <f>1406-H15</f>
        <v>1088</v>
      </c>
      <c r="I14" s="2">
        <f>458+415+815-I15</f>
        <v>1370</v>
      </c>
      <c r="J14" s="2">
        <f>670-J15</f>
        <v>352</v>
      </c>
      <c r="K14" s="2">
        <f>793-K15</f>
        <v>475</v>
      </c>
      <c r="L14" s="2">
        <f>793-L15</f>
        <v>475</v>
      </c>
      <c r="M14" s="2">
        <f>696-M15</f>
        <v>378</v>
      </c>
      <c r="N14" s="2">
        <f>624-N15</f>
        <v>306</v>
      </c>
      <c r="O14" s="2">
        <f>624-O15</f>
        <v>306</v>
      </c>
      <c r="P14" s="2">
        <f>624-P15</f>
        <v>306</v>
      </c>
      <c r="Q14" s="2"/>
      <c r="R14" s="2"/>
      <c r="S14" s="2"/>
      <c r="T14" s="2"/>
    </row>
    <row r="15" spans="1:20" x14ac:dyDescent="0.2">
      <c r="A15" s="2" t="s">
        <v>78</v>
      </c>
      <c r="B15" s="2" t="s">
        <v>113</v>
      </c>
      <c r="C15" s="34">
        <v>349</v>
      </c>
      <c r="D15" s="25">
        <f>ROUND(SUM(E15:P15)/C6,0)</f>
        <v>575</v>
      </c>
      <c r="E15" s="2">
        <v>388</v>
      </c>
      <c r="F15" s="2">
        <v>388</v>
      </c>
      <c r="G15" s="2">
        <v>388</v>
      </c>
      <c r="H15" s="2">
        <v>318</v>
      </c>
      <c r="I15" s="2">
        <v>318</v>
      </c>
      <c r="J15" s="2">
        <v>318</v>
      </c>
      <c r="K15" s="2">
        <v>318</v>
      </c>
      <c r="L15" s="2">
        <v>318</v>
      </c>
      <c r="M15" s="2">
        <v>318</v>
      </c>
      <c r="N15" s="2">
        <v>318</v>
      </c>
      <c r="O15" s="2">
        <v>318</v>
      </c>
      <c r="P15" s="2">
        <v>318</v>
      </c>
      <c r="Q15" s="2"/>
      <c r="R15" s="2"/>
      <c r="S15" s="2"/>
      <c r="T15" s="2"/>
    </row>
    <row r="16" spans="1:20" x14ac:dyDescent="0.2">
      <c r="A16" s="2" t="s">
        <v>70</v>
      </c>
      <c r="B16" s="2" t="s">
        <v>113</v>
      </c>
      <c r="C16" s="34">
        <v>130</v>
      </c>
      <c r="D16" s="25">
        <f>ROUND(SUM(E16:P16)/C6,0)</f>
        <v>1674</v>
      </c>
      <c r="E16" s="2">
        <f>1208</f>
        <v>1208</v>
      </c>
      <c r="F16" s="2">
        <v>237</v>
      </c>
      <c r="G16" s="2">
        <v>0</v>
      </c>
      <c r="H16" s="2">
        <f>218+285</f>
        <v>503</v>
      </c>
      <c r="I16" s="2">
        <v>0</v>
      </c>
      <c r="J16" s="2">
        <f>433+286</f>
        <v>719</v>
      </c>
      <c r="K16" s="2">
        <f>427+406</f>
        <v>833</v>
      </c>
      <c r="L16" s="2">
        <f>1367+907</f>
        <v>2274</v>
      </c>
      <c r="M16" s="2">
        <f>1052+1220</f>
        <v>2272</v>
      </c>
      <c r="N16" s="2">
        <f>423+485</f>
        <v>908</v>
      </c>
      <c r="O16" s="45">
        <f>1151+540</f>
        <v>1691</v>
      </c>
      <c r="P16" s="2">
        <f>674+401</f>
        <v>1075</v>
      </c>
      <c r="Q16" s="2"/>
      <c r="R16" s="2"/>
      <c r="S16" s="2"/>
      <c r="T16" s="2"/>
    </row>
    <row r="17" spans="1:20" x14ac:dyDescent="0.2">
      <c r="A17" s="2" t="s">
        <v>36</v>
      </c>
      <c r="B17" s="2" t="s">
        <v>113</v>
      </c>
      <c r="C17" s="14">
        <v>562</v>
      </c>
      <c r="D17" s="25">
        <f>ROUND(SUM(E17:P17)/C6,0)</f>
        <v>835</v>
      </c>
      <c r="E17" s="2">
        <v>0</v>
      </c>
      <c r="F17" s="2">
        <v>0</v>
      </c>
      <c r="G17" s="2">
        <f>1231</f>
        <v>1231</v>
      </c>
      <c r="H17" s="2">
        <v>0</v>
      </c>
      <c r="I17" s="2">
        <v>0</v>
      </c>
      <c r="J17" s="2">
        <v>1475</v>
      </c>
      <c r="K17" s="2">
        <v>0</v>
      </c>
      <c r="L17" s="2">
        <v>0</v>
      </c>
      <c r="M17" s="2">
        <v>1611</v>
      </c>
      <c r="N17" s="2">
        <v>0</v>
      </c>
      <c r="O17" s="2">
        <v>0</v>
      </c>
      <c r="P17" s="2">
        <v>1529</v>
      </c>
      <c r="Q17" s="2"/>
      <c r="R17" s="2"/>
      <c r="S17" s="2"/>
      <c r="T17" s="2"/>
    </row>
    <row r="18" spans="1:20" x14ac:dyDescent="0.2">
      <c r="A18" s="2" t="s">
        <v>191</v>
      </c>
      <c r="B18" s="2" t="s">
        <v>113</v>
      </c>
      <c r="C18" s="34">
        <v>441</v>
      </c>
      <c r="D18" s="25">
        <f>ROUND(SUM(E18:P18)/C6,0)</f>
        <v>1076</v>
      </c>
      <c r="E18" s="2">
        <v>610</v>
      </c>
      <c r="F18" s="2">
        <v>610</v>
      </c>
      <c r="G18" s="2">
        <v>610</v>
      </c>
      <c r="H18" s="2">
        <v>610</v>
      </c>
      <c r="I18" s="2">
        <v>610</v>
      </c>
      <c r="J18" s="2">
        <v>610</v>
      </c>
      <c r="K18" s="2">
        <v>610</v>
      </c>
      <c r="L18" s="2">
        <v>610</v>
      </c>
      <c r="M18" s="2">
        <v>663</v>
      </c>
      <c r="N18" s="2">
        <v>663</v>
      </c>
      <c r="O18" s="2">
        <v>663</v>
      </c>
      <c r="P18" s="2">
        <v>663</v>
      </c>
      <c r="Q18" s="2"/>
      <c r="R18" s="2"/>
      <c r="S18" s="2"/>
      <c r="T18" s="2"/>
    </row>
    <row r="19" spans="1:20" x14ac:dyDescent="0.2">
      <c r="A19" s="2" t="s">
        <v>22</v>
      </c>
      <c r="B19" s="2" t="s">
        <v>113</v>
      </c>
      <c r="C19" s="34">
        <v>170</v>
      </c>
      <c r="D19" s="25">
        <f>ROUND(SUM(E19:P19)/C6,0)</f>
        <v>297</v>
      </c>
      <c r="E19" s="2">
        <v>0</v>
      </c>
      <c r="F19" s="2">
        <v>0</v>
      </c>
      <c r="G19" s="2">
        <v>519</v>
      </c>
      <c r="H19" s="2">
        <v>0</v>
      </c>
      <c r="I19" s="2">
        <v>0</v>
      </c>
      <c r="J19" s="2">
        <v>519</v>
      </c>
      <c r="K19" s="2">
        <v>0</v>
      </c>
      <c r="L19" s="2">
        <v>0</v>
      </c>
      <c r="M19" s="2">
        <v>519</v>
      </c>
      <c r="N19" s="2">
        <v>0</v>
      </c>
      <c r="O19" s="2">
        <v>0</v>
      </c>
      <c r="P19" s="2">
        <v>519</v>
      </c>
      <c r="Q19" s="2"/>
      <c r="R19" s="2"/>
      <c r="S19" s="2"/>
      <c r="T19" s="2"/>
    </row>
    <row r="20" spans="1:20" x14ac:dyDescent="0.2">
      <c r="A20" s="2" t="s">
        <v>23</v>
      </c>
      <c r="B20" s="2" t="s">
        <v>113</v>
      </c>
      <c r="C20" s="34">
        <v>373</v>
      </c>
      <c r="D20" s="25">
        <f>ROUND(SUM(E20:P20)/C6,0)</f>
        <v>633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4428</v>
      </c>
      <c r="N20" s="2">
        <v>0</v>
      </c>
      <c r="O20" s="2">
        <v>0</v>
      </c>
      <c r="P20" s="2">
        <v>0</v>
      </c>
      <c r="Q20" s="2"/>
      <c r="R20" s="2" t="s">
        <v>46</v>
      </c>
      <c r="S20" s="2"/>
      <c r="T20" s="2"/>
    </row>
    <row r="21" spans="1:20" x14ac:dyDescent="0.2">
      <c r="A21" s="2" t="s">
        <v>60</v>
      </c>
      <c r="B21" s="2" t="s">
        <v>113</v>
      </c>
      <c r="C21" s="34">
        <v>74</v>
      </c>
      <c r="D21" s="25">
        <f>ROUND(SUM(E21:P21)/C6,0)</f>
        <v>160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1123</v>
      </c>
      <c r="P21" s="2">
        <v>0</v>
      </c>
      <c r="Q21" s="2"/>
      <c r="R21" s="2"/>
      <c r="S21" s="2"/>
      <c r="T21" s="2"/>
    </row>
    <row r="22" spans="1:20" x14ac:dyDescent="0.2">
      <c r="A22" s="2" t="s">
        <v>193</v>
      </c>
      <c r="B22" s="2" t="s">
        <v>113</v>
      </c>
      <c r="C22" s="34">
        <v>74</v>
      </c>
      <c r="D22" s="25">
        <f>ROUND(SUM(E22:P22)/C6,0)</f>
        <v>441</v>
      </c>
      <c r="E22" s="2">
        <v>0</v>
      </c>
      <c r="F22" s="2">
        <v>765</v>
      </c>
      <c r="G22" s="2">
        <v>0</v>
      </c>
      <c r="H22" s="2">
        <v>0</v>
      </c>
      <c r="I22" s="2">
        <v>765</v>
      </c>
      <c r="J22" s="2">
        <v>0</v>
      </c>
      <c r="K22" s="2">
        <v>0</v>
      </c>
      <c r="L22" s="2">
        <v>765</v>
      </c>
      <c r="M22" s="2">
        <v>0</v>
      </c>
      <c r="N22" s="2">
        <v>0</v>
      </c>
      <c r="O22" s="2">
        <v>789</v>
      </c>
      <c r="P22" s="2">
        <v>0</v>
      </c>
      <c r="Q22" s="2"/>
      <c r="R22" s="2"/>
      <c r="S22" s="2"/>
      <c r="T22" s="2"/>
    </row>
    <row r="23" spans="1:20" x14ac:dyDescent="0.2">
      <c r="A23" s="2" t="s">
        <v>50</v>
      </c>
      <c r="B23" s="2" t="s">
        <v>113</v>
      </c>
      <c r="C23" s="34">
        <v>180</v>
      </c>
      <c r="D23" s="25">
        <f>ROUND(SUM(E23:P23)/C6,0)</f>
        <v>369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2585</v>
      </c>
      <c r="N23" s="2">
        <v>0</v>
      </c>
      <c r="O23" s="2">
        <v>0</v>
      </c>
      <c r="P23" s="2">
        <v>0</v>
      </c>
      <c r="Q23" s="2"/>
      <c r="R23" s="2" t="s">
        <v>46</v>
      </c>
      <c r="S23" s="2"/>
      <c r="T23" s="2"/>
    </row>
    <row r="24" spans="1:20" x14ac:dyDescent="0.2">
      <c r="A24" s="2" t="s">
        <v>34</v>
      </c>
      <c r="B24" s="2" t="s">
        <v>116</v>
      </c>
      <c r="C24" s="34">
        <v>166</v>
      </c>
      <c r="D24" s="25">
        <f>ROUND(SUM(E24:P24)/C6,0)</f>
        <v>185</v>
      </c>
      <c r="E24" s="2">
        <v>108</v>
      </c>
      <c r="F24" s="2">
        <v>108</v>
      </c>
      <c r="G24" s="2">
        <v>108</v>
      </c>
      <c r="H24" s="2">
        <v>108</v>
      </c>
      <c r="I24" s="2">
        <v>108</v>
      </c>
      <c r="J24" s="2">
        <v>108</v>
      </c>
      <c r="K24" s="2">
        <v>108</v>
      </c>
      <c r="L24" s="2">
        <v>108</v>
      </c>
      <c r="M24" s="2">
        <v>108</v>
      </c>
      <c r="N24" s="2">
        <v>108</v>
      </c>
      <c r="O24" s="2">
        <v>108</v>
      </c>
      <c r="P24" s="2">
        <v>108</v>
      </c>
      <c r="Q24" s="2"/>
      <c r="R24" s="2"/>
      <c r="S24" s="2"/>
      <c r="T24" s="2"/>
    </row>
    <row r="25" spans="1:20" x14ac:dyDescent="0.2">
      <c r="A25" s="2" t="s">
        <v>25</v>
      </c>
      <c r="B25" s="2" t="s">
        <v>116</v>
      </c>
      <c r="C25" s="34">
        <v>260</v>
      </c>
      <c r="D25" s="25">
        <f>ROUND(SUM(E25:P25)/C6,0)</f>
        <v>604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f>398</f>
        <v>398</v>
      </c>
      <c r="N25" s="2">
        <f>2022+910</f>
        <v>2932</v>
      </c>
      <c r="O25" s="2">
        <v>897</v>
      </c>
      <c r="P25" s="2">
        <v>0</v>
      </c>
      <c r="Q25" s="2"/>
      <c r="R25" s="2"/>
      <c r="S25" s="2"/>
      <c r="T25" s="2"/>
    </row>
    <row r="26" spans="1:20" x14ac:dyDescent="0.2">
      <c r="A26" s="2" t="s">
        <v>52</v>
      </c>
      <c r="B26" s="2" t="s">
        <v>116</v>
      </c>
      <c r="C26" s="34">
        <v>1121</v>
      </c>
      <c r="D26" s="25">
        <f>ROUND(SUM(E26:P26)/C6,0)</f>
        <v>625</v>
      </c>
      <c r="E26" s="2">
        <f>596+591</f>
        <v>1187</v>
      </c>
      <c r="F26" s="2">
        <f>596+591</f>
        <v>1187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2000</v>
      </c>
      <c r="N26" s="2">
        <v>0</v>
      </c>
      <c r="O26" s="2">
        <v>0</v>
      </c>
      <c r="P26" s="2">
        <v>0</v>
      </c>
      <c r="Q26" s="2"/>
      <c r="R26" s="2"/>
      <c r="S26" s="2"/>
      <c r="T26" s="2"/>
    </row>
    <row r="27" spans="1:20" x14ac:dyDescent="0.2">
      <c r="A27" s="2" t="s">
        <v>189</v>
      </c>
      <c r="B27" s="2" t="s">
        <v>116</v>
      </c>
      <c r="C27" s="34">
        <v>37</v>
      </c>
      <c r="D27" s="25">
        <f>ROUND(SUM(E27:P27)/C6,0)</f>
        <v>302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527</v>
      </c>
      <c r="L27" s="2">
        <v>0</v>
      </c>
      <c r="M27" s="2">
        <v>0</v>
      </c>
      <c r="N27" s="2">
        <v>0</v>
      </c>
      <c r="O27" s="2">
        <v>1585</v>
      </c>
      <c r="P27" s="2">
        <v>0</v>
      </c>
      <c r="Q27" s="2"/>
      <c r="R27" s="2"/>
      <c r="S27" s="2"/>
      <c r="T27" s="2"/>
    </row>
    <row r="28" spans="1:20" x14ac:dyDescent="0.2">
      <c r="A28" s="2" t="s">
        <v>19</v>
      </c>
      <c r="B28" s="2" t="s">
        <v>114</v>
      </c>
      <c r="C28" s="14">
        <v>2900</v>
      </c>
      <c r="D28" s="25">
        <f>ROUND(SUM(E28:P28)/C6,0)</f>
        <v>3621</v>
      </c>
      <c r="E28" s="2">
        <f>45</f>
        <v>45</v>
      </c>
      <c r="F28" s="2">
        <v>260</v>
      </c>
      <c r="G28" s="2">
        <f>1776+702</f>
        <v>2478</v>
      </c>
      <c r="H28" s="2">
        <v>3105</v>
      </c>
      <c r="I28" s="2">
        <f>1942</f>
        <v>1942</v>
      </c>
      <c r="J28" s="2">
        <f>3502+195</f>
        <v>3697</v>
      </c>
      <c r="K28" s="2">
        <f>47+2402</f>
        <v>2449</v>
      </c>
      <c r="L28" s="2">
        <f>650+52</f>
        <v>702</v>
      </c>
      <c r="M28" s="2">
        <f>1239</f>
        <v>1239</v>
      </c>
      <c r="N28" s="2">
        <f>3718</f>
        <v>3718</v>
      </c>
      <c r="O28" s="2">
        <f>2490</f>
        <v>2490</v>
      </c>
      <c r="P28" s="2">
        <f>3157+68</f>
        <v>3225</v>
      </c>
      <c r="Q28" s="2"/>
      <c r="R28" s="2"/>
      <c r="S28" s="2"/>
      <c r="T28" s="2"/>
    </row>
    <row r="29" spans="1:20" x14ac:dyDescent="0.2">
      <c r="A29" s="2" t="s">
        <v>31</v>
      </c>
      <c r="B29" s="2" t="s">
        <v>114</v>
      </c>
      <c r="C29" s="34">
        <v>252</v>
      </c>
      <c r="D29" s="25">
        <f>ROUND(SUM(E29:P29)/C6,0)</f>
        <v>232</v>
      </c>
      <c r="E29" s="2">
        <v>0</v>
      </c>
      <c r="F29" s="2">
        <v>0</v>
      </c>
      <c r="G29" s="2">
        <v>0</v>
      </c>
      <c r="H29" s="2">
        <v>65</v>
      </c>
      <c r="I29" s="2">
        <v>1559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 t="s">
        <v>46</v>
      </c>
      <c r="R29" s="2"/>
      <c r="S29" s="2"/>
      <c r="T29" s="2"/>
    </row>
    <row r="30" spans="1:20" x14ac:dyDescent="0.2">
      <c r="A30" s="2" t="s">
        <v>35</v>
      </c>
      <c r="B30" s="2" t="s">
        <v>114</v>
      </c>
      <c r="C30" s="34">
        <v>900</v>
      </c>
      <c r="D30" s="25">
        <f>ROUND(SUM(E30:P30)/C6,0)</f>
        <v>984</v>
      </c>
      <c r="E30" s="2">
        <v>0</v>
      </c>
      <c r="F30" s="2">
        <v>0</v>
      </c>
      <c r="G30" s="2">
        <v>3224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3444</v>
      </c>
      <c r="O30" s="2">
        <f>220</f>
        <v>220</v>
      </c>
      <c r="P30" s="2">
        <v>0</v>
      </c>
      <c r="Q30" s="2"/>
      <c r="R30" s="2"/>
      <c r="S30" s="2"/>
      <c r="T30" s="2"/>
    </row>
    <row r="31" spans="1:20" x14ac:dyDescent="0.2">
      <c r="A31" s="2" t="s">
        <v>54</v>
      </c>
      <c r="B31" s="2" t="s">
        <v>114</v>
      </c>
      <c r="C31" s="14">
        <v>1900</v>
      </c>
      <c r="D31" s="25">
        <f>ROUND(SUM(E31:P31)/C6,0)</f>
        <v>1114</v>
      </c>
      <c r="E31" s="2">
        <v>0</v>
      </c>
      <c r="F31" s="2">
        <v>0</v>
      </c>
      <c r="G31" s="2">
        <v>0</v>
      </c>
      <c r="H31" s="2">
        <v>0</v>
      </c>
      <c r="I31" s="2">
        <v>7800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/>
      <c r="R31" s="2"/>
      <c r="S31" s="2"/>
      <c r="T31" s="2"/>
    </row>
    <row r="32" spans="1:20" x14ac:dyDescent="0.2">
      <c r="B32" s="18" t="s">
        <v>46</v>
      </c>
      <c r="C32" s="25"/>
      <c r="D32" s="25"/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T32" s="2"/>
    </row>
    <row r="33" spans="1:20" x14ac:dyDescent="0.2">
      <c r="A33" s="4" t="s">
        <v>27</v>
      </c>
      <c r="B33" s="2" t="s">
        <v>27</v>
      </c>
      <c r="C33" s="34">
        <v>9900</v>
      </c>
      <c r="D33" s="25">
        <f>ROUND(SUM(E33:P33)/C6,0)</f>
        <v>14853</v>
      </c>
      <c r="E33" s="2">
        <v>9000</v>
      </c>
      <c r="F33" s="2">
        <v>9000</v>
      </c>
      <c r="G33" s="2">
        <v>9000</v>
      </c>
      <c r="H33" s="2">
        <v>9000</v>
      </c>
      <c r="I33" s="2">
        <v>9000</v>
      </c>
      <c r="J33" s="2">
        <f>999+760+164+280+312+1270+81+244+156+295+1433+169+145+309+1014+372+97+3265+62+55+96+1170+205+60+72+280+238+300+67</f>
        <v>13970</v>
      </c>
      <c r="K33" s="2">
        <v>9000</v>
      </c>
      <c r="L33" s="2">
        <v>9000</v>
      </c>
      <c r="M33" s="2">
        <v>9000</v>
      </c>
      <c r="N33" s="2">
        <v>9000</v>
      </c>
      <c r="O33" s="2">
        <v>9000</v>
      </c>
      <c r="P33" s="2">
        <v>0</v>
      </c>
      <c r="Q33" s="2"/>
      <c r="R33" s="2"/>
      <c r="S33" s="2"/>
      <c r="T33" s="2"/>
    </row>
    <row r="34" spans="1:20" x14ac:dyDescent="0.2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2"/>
    </row>
    <row r="35" spans="1:20" x14ac:dyDescent="0.2">
      <c r="A35" s="11" t="s">
        <v>174</v>
      </c>
      <c r="B35" s="11"/>
      <c r="C35" s="12" t="s">
        <v>46</v>
      </c>
      <c r="D35" s="13"/>
      <c r="E35" s="11"/>
      <c r="F35" s="11">
        <v>0</v>
      </c>
      <c r="G35" s="11">
        <v>0</v>
      </c>
      <c r="H35" s="11"/>
      <c r="I35" s="11"/>
      <c r="J35" s="11"/>
      <c r="K35" s="11">
        <v>0</v>
      </c>
      <c r="L35" s="11"/>
      <c r="M35" s="11">
        <v>0</v>
      </c>
      <c r="N35" s="11"/>
      <c r="O35" s="11"/>
      <c r="P35" s="11"/>
      <c r="Q35" s="11"/>
      <c r="R35" s="11"/>
      <c r="S35" s="11"/>
      <c r="T35" s="2"/>
    </row>
    <row r="36" spans="1:20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x14ac:dyDescent="0.2">
      <c r="A37" s="2" t="s">
        <v>163</v>
      </c>
      <c r="B37" s="2" t="s">
        <v>171</v>
      </c>
      <c r="C37" s="25">
        <v>333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/>
      <c r="R37" s="2"/>
      <c r="S37" s="2"/>
      <c r="T37" s="2"/>
    </row>
    <row r="38" spans="1:20" x14ac:dyDescent="0.2">
      <c r="A38" s="2" t="s">
        <v>165</v>
      </c>
      <c r="B38" s="2" t="s">
        <v>171</v>
      </c>
      <c r="C38" s="25">
        <v>167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11"/>
      <c r="R38" s="11"/>
      <c r="S38" s="11"/>
      <c r="T38" s="2"/>
    </row>
    <row r="39" spans="1:20" x14ac:dyDescent="0.2">
      <c r="A39" s="2" t="s">
        <v>38</v>
      </c>
      <c r="B39" s="2" t="s">
        <v>171</v>
      </c>
      <c r="C39" s="25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/>
      <c r="R39" s="2"/>
      <c r="S39" s="2"/>
      <c r="T39" s="2"/>
    </row>
    <row r="40" spans="1:20" x14ac:dyDescent="0.2">
      <c r="A40" s="2" t="s">
        <v>190</v>
      </c>
      <c r="B40" s="2" t="s">
        <v>3</v>
      </c>
      <c r="C40" s="2"/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f>750+450</f>
        <v>1200</v>
      </c>
      <c r="Q40" s="2"/>
      <c r="R40" s="2"/>
      <c r="S40" s="2"/>
      <c r="T40" s="2"/>
    </row>
    <row r="41" spans="1:20" x14ac:dyDescent="0.2">
      <c r="A41" s="2" t="s">
        <v>3</v>
      </c>
      <c r="B41" s="2" t="s">
        <v>3</v>
      </c>
      <c r="C41" s="25">
        <v>0</v>
      </c>
      <c r="D41" s="2">
        <v>0</v>
      </c>
      <c r="E41" s="2">
        <f>1000+178</f>
        <v>1178</v>
      </c>
      <c r="F41" s="2">
        <v>0</v>
      </c>
      <c r="G41" s="2">
        <f>110+339+160</f>
        <v>609</v>
      </c>
      <c r="H41" s="2">
        <f>3075+239+230</f>
        <v>3544</v>
      </c>
      <c r="I41" s="2">
        <f>1743+50</f>
        <v>1793</v>
      </c>
      <c r="J41" s="2">
        <f>239+370+606</f>
        <v>1215</v>
      </c>
      <c r="K41" s="2">
        <f>1053+499+500+45</f>
        <v>2097</v>
      </c>
      <c r="L41" s="2">
        <f>599</f>
        <v>599</v>
      </c>
      <c r="M41" s="2">
        <f>220+437+220+527</f>
        <v>1404</v>
      </c>
      <c r="N41" s="2">
        <f>65+148+378</f>
        <v>591</v>
      </c>
      <c r="O41" s="2">
        <f>228+861</f>
        <v>1089</v>
      </c>
      <c r="P41" s="2">
        <f>79+79</f>
        <v>158</v>
      </c>
      <c r="Q41" s="2"/>
      <c r="R41" s="2"/>
      <c r="S41" s="2"/>
      <c r="T41" s="2"/>
    </row>
    <row r="42" spans="1:20" x14ac:dyDescent="0.2">
      <c r="A42" s="2" t="s">
        <v>97</v>
      </c>
      <c r="B42" s="2" t="s">
        <v>97</v>
      </c>
      <c r="C42" s="25">
        <f>4000+900+300</f>
        <v>5200</v>
      </c>
      <c r="D42" s="25">
        <f>C42</f>
        <v>5200</v>
      </c>
      <c r="E42" s="25">
        <v>5200</v>
      </c>
      <c r="F42" s="25">
        <v>5200</v>
      </c>
      <c r="G42" s="25">
        <v>5200</v>
      </c>
      <c r="H42" s="25">
        <v>5200</v>
      </c>
      <c r="I42" s="25">
        <v>5200</v>
      </c>
      <c r="J42" s="25">
        <v>5200</v>
      </c>
      <c r="K42" s="25">
        <v>5200</v>
      </c>
      <c r="L42" s="25">
        <v>5200</v>
      </c>
      <c r="M42" s="25">
        <v>5200</v>
      </c>
      <c r="N42" s="25">
        <v>5200</v>
      </c>
      <c r="O42" s="25">
        <v>5200</v>
      </c>
      <c r="P42" s="25">
        <v>5200</v>
      </c>
      <c r="Q42" s="2"/>
      <c r="R42" s="2"/>
      <c r="S42" s="2"/>
      <c r="T42" s="2"/>
    </row>
    <row r="43" spans="1:20" x14ac:dyDescent="0.2">
      <c r="A43" s="2" t="s">
        <v>121</v>
      </c>
      <c r="B43" s="2" t="s">
        <v>117</v>
      </c>
      <c r="C43" s="2">
        <v>8000</v>
      </c>
      <c r="D43" s="9">
        <f>ROUND(SUM(E43:P43)/C6,0)</f>
        <v>39656</v>
      </c>
      <c r="E43" s="2">
        <f>44479-E33-E31</f>
        <v>35479</v>
      </c>
      <c r="F43" s="25">
        <f>23040+63178-F33</f>
        <v>77218</v>
      </c>
      <c r="G43" s="25">
        <f>13861-G33</f>
        <v>4861</v>
      </c>
      <c r="H43" s="25">
        <f>29881-H33</f>
        <v>20881</v>
      </c>
      <c r="I43" s="25">
        <f>41511-I33-I31</f>
        <v>24711</v>
      </c>
      <c r="J43" s="25">
        <f>24136-J33</f>
        <v>10166</v>
      </c>
      <c r="K43" s="25">
        <f>53938-K33</f>
        <v>44938</v>
      </c>
      <c r="L43" s="25">
        <f>31064-L33</f>
        <v>22064</v>
      </c>
      <c r="M43" s="25">
        <f>14009-M33</f>
        <v>5009</v>
      </c>
      <c r="N43" s="25">
        <f>22461-N33</f>
        <v>13461</v>
      </c>
      <c r="O43" s="25">
        <f>27807-O33</f>
        <v>18807</v>
      </c>
      <c r="P43" s="2">
        <f>0-P33</f>
        <v>0</v>
      </c>
      <c r="Q43" s="2"/>
      <c r="R43" s="2"/>
      <c r="S43" s="2"/>
      <c r="T43" s="2"/>
    </row>
    <row r="44" spans="1:20" x14ac:dyDescent="0.2">
      <c r="A44" s="11" t="s">
        <v>40</v>
      </c>
      <c r="B44" s="11"/>
      <c r="C44" s="9">
        <f>SUM(C12:C43)</f>
        <v>46389</v>
      </c>
      <c r="D44" s="9">
        <f>SUM(D12:D43)</f>
        <v>89471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x14ac:dyDescent="0.2">
      <c r="A45" s="2" t="s">
        <v>123</v>
      </c>
      <c r="B45" s="2"/>
      <c r="C45" s="2">
        <f>C44-C43</f>
        <v>38389</v>
      </c>
      <c r="D45" s="2"/>
      <c r="E45" s="2"/>
      <c r="F45" s="2"/>
      <c r="G45" s="2"/>
      <c r="H45" s="2"/>
      <c r="I45" s="2"/>
      <c r="J45" s="2">
        <v>0</v>
      </c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x14ac:dyDescent="0.2">
      <c r="A47" s="2" t="s">
        <v>175</v>
      </c>
      <c r="B47" s="2"/>
      <c r="C47" s="2">
        <v>51700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x14ac:dyDescent="0.2">
      <c r="A48" s="2" t="s">
        <v>176</v>
      </c>
      <c r="B48" s="2"/>
      <c r="C48" s="2">
        <f>C47-C45</f>
        <v>13311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x14ac:dyDescent="0.2">
      <c r="A49" s="11" t="s">
        <v>173</v>
      </c>
      <c r="B49" s="2"/>
      <c r="C49" s="9">
        <f>C48-5000</f>
        <v>8311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x14ac:dyDescent="0.2">
      <c r="A50" s="1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x14ac:dyDescent="0.2">
      <c r="A52" s="11" t="s">
        <v>109</v>
      </c>
      <c r="B52" s="11"/>
      <c r="C52" s="9"/>
      <c r="D52" s="2">
        <f t="shared" ref="D52:O52" si="2">D33+D43</f>
        <v>54509</v>
      </c>
      <c r="E52" s="2">
        <f t="shared" si="2"/>
        <v>44479</v>
      </c>
      <c r="F52" s="2">
        <f>F33+G43</f>
        <v>13861</v>
      </c>
      <c r="G52" s="2">
        <f>G33+H43</f>
        <v>29881</v>
      </c>
      <c r="H52" s="2">
        <f t="shared" si="2"/>
        <v>29881</v>
      </c>
      <c r="I52" s="2">
        <f t="shared" si="2"/>
        <v>33711</v>
      </c>
      <c r="J52" s="2">
        <f t="shared" si="2"/>
        <v>24136</v>
      </c>
      <c r="K52" s="2">
        <f t="shared" si="2"/>
        <v>53938</v>
      </c>
      <c r="L52" s="2">
        <f t="shared" si="2"/>
        <v>31064</v>
      </c>
      <c r="M52" s="2">
        <f t="shared" si="2"/>
        <v>14009</v>
      </c>
      <c r="N52" s="2">
        <f t="shared" si="2"/>
        <v>22461</v>
      </c>
      <c r="O52" s="2">
        <f t="shared" si="2"/>
        <v>27807</v>
      </c>
      <c r="P52" s="2"/>
      <c r="Q52" s="2"/>
      <c r="R52" s="2"/>
      <c r="S52" s="2"/>
      <c r="T52" s="2"/>
    </row>
    <row r="53" spans="1:20" x14ac:dyDescent="0.2">
      <c r="A53" s="11" t="s">
        <v>110</v>
      </c>
      <c r="B53" s="2"/>
      <c r="C53" s="2"/>
      <c r="D53" s="2"/>
      <c r="E53" s="2">
        <v>0</v>
      </c>
      <c r="F53" s="2">
        <v>0</v>
      </c>
      <c r="G53" s="2"/>
      <c r="H53" s="2"/>
      <c r="I53" s="2"/>
      <c r="J53" s="14"/>
      <c r="K53" s="14"/>
      <c r="L53" s="2"/>
      <c r="M53" s="2">
        <v>0</v>
      </c>
      <c r="N53" s="2">
        <v>0</v>
      </c>
      <c r="O53" s="2"/>
      <c r="P53" s="2"/>
      <c r="Q53" s="2"/>
      <c r="R53" s="2"/>
      <c r="S53" s="2"/>
      <c r="T53" s="2"/>
    </row>
    <row r="54" spans="1:20" x14ac:dyDescent="0.2">
      <c r="A54" s="11" t="s">
        <v>166</v>
      </c>
      <c r="B54" s="11"/>
      <c r="C54" s="2"/>
      <c r="D54" s="2"/>
      <c r="E54" s="2">
        <v>0</v>
      </c>
      <c r="F54" s="2">
        <v>0</v>
      </c>
      <c r="G54" s="10"/>
      <c r="H54" s="2"/>
      <c r="I54" s="2"/>
      <c r="J54" s="2"/>
      <c r="K54" s="2"/>
      <c r="L54" s="2"/>
      <c r="M54" s="2">
        <v>0</v>
      </c>
      <c r="N54" s="2">
        <v>0</v>
      </c>
      <c r="O54" s="2"/>
      <c r="P54" s="2"/>
      <c r="Q54" s="2"/>
      <c r="R54" s="2"/>
      <c r="S54" s="2"/>
      <c r="T54" s="2"/>
    </row>
    <row r="55" spans="1:20" x14ac:dyDescent="0.2">
      <c r="A55" s="11" t="s">
        <v>167</v>
      </c>
      <c r="B55" s="11"/>
      <c r="C55" s="2"/>
      <c r="D55" s="2"/>
      <c r="E55" s="2">
        <v>0</v>
      </c>
      <c r="F55" s="2">
        <v>0</v>
      </c>
      <c r="G55" s="10"/>
      <c r="H55" s="2">
        <v>0</v>
      </c>
      <c r="I55" s="2"/>
      <c r="J55" s="2"/>
      <c r="K55" s="2"/>
      <c r="L55" s="2"/>
      <c r="M55" s="2">
        <v>0</v>
      </c>
      <c r="N55" s="2"/>
      <c r="O55" s="2"/>
      <c r="P55" s="2"/>
      <c r="Q55" s="2"/>
      <c r="R55" s="2"/>
      <c r="S55" s="2"/>
      <c r="T55" s="2"/>
    </row>
    <row r="56" spans="1:20" x14ac:dyDescent="0.2">
      <c r="A56" s="11" t="s">
        <v>26</v>
      </c>
      <c r="B56" s="11"/>
      <c r="C56" s="2"/>
      <c r="D56" s="2"/>
      <c r="E56" s="2"/>
      <c r="F56" s="2"/>
      <c r="G56" s="2"/>
      <c r="H56" s="2"/>
      <c r="I56" s="2"/>
      <c r="J56" s="2"/>
      <c r="K56" s="2"/>
      <c r="L56" s="2"/>
      <c r="M56" s="2">
        <f>SUM(M53:M55)</f>
        <v>0</v>
      </c>
      <c r="N56" s="2">
        <f>SUM(N53:N55)</f>
        <v>0</v>
      </c>
      <c r="O56" s="2"/>
      <c r="P56" s="2"/>
      <c r="Q56" s="2"/>
      <c r="R56" s="2"/>
      <c r="S56" s="2"/>
      <c r="T56" s="2"/>
    </row>
    <row r="57" spans="1:20" x14ac:dyDescent="0.2">
      <c r="A57" s="11"/>
      <c r="B57" s="1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x14ac:dyDescent="0.2">
      <c r="A63" s="11" t="s">
        <v>119</v>
      </c>
      <c r="B63" s="2" t="s">
        <v>131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x14ac:dyDescent="0.2">
      <c r="A64" s="2" t="s">
        <v>113</v>
      </c>
      <c r="B64" s="2">
        <f>SUM(C12:C23)</f>
        <v>15253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x14ac:dyDescent="0.2">
      <c r="A65" s="2" t="s">
        <v>120</v>
      </c>
      <c r="B65" s="2">
        <f>SUM(C24:C27)</f>
        <v>1584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x14ac:dyDescent="0.2">
      <c r="A66" s="2" t="s">
        <v>114</v>
      </c>
      <c r="B66" s="2">
        <f>SUM(C28:C31)</f>
        <v>5952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x14ac:dyDescent="0.2">
      <c r="A67" s="2" t="s">
        <v>27</v>
      </c>
      <c r="B67" s="2">
        <f>C33</f>
        <v>9900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x14ac:dyDescent="0.2">
      <c r="A68" s="2" t="s">
        <v>127</v>
      </c>
      <c r="B68" s="2">
        <f>C42</f>
        <v>5200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x14ac:dyDescent="0.2">
      <c r="A69" s="2" t="s">
        <v>122</v>
      </c>
      <c r="B69" s="2">
        <f>C43</f>
        <v>8000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x14ac:dyDescent="0.2">
      <c r="A70" s="2" t="s">
        <v>44</v>
      </c>
      <c r="B70" s="2">
        <f>SUM(B64:B69)</f>
        <v>45889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x14ac:dyDescent="0.2">
      <c r="A72" s="2" t="s">
        <v>126</v>
      </c>
      <c r="B72" s="9">
        <v>49400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x14ac:dyDescent="0.2">
      <c r="A76" s="2" t="s">
        <v>128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x14ac:dyDescent="0.2">
      <c r="A77" s="2" t="s">
        <v>129</v>
      </c>
      <c r="B77" s="2">
        <f>45500</f>
        <v>45500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x14ac:dyDescent="0.2">
      <c r="A83" s="2"/>
      <c r="B83" s="2"/>
      <c r="C83" s="2" t="s">
        <v>92</v>
      </c>
      <c r="D83" s="2" t="s">
        <v>93</v>
      </c>
      <c r="E83" s="2"/>
      <c r="F83" s="2"/>
      <c r="G83" s="14">
        <v>3000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x14ac:dyDescent="0.2">
      <c r="A84" s="2" t="s">
        <v>90</v>
      </c>
      <c r="B84" s="2"/>
      <c r="C84" s="2">
        <v>1248</v>
      </c>
      <c r="D84" s="2">
        <f>C84/12</f>
        <v>104</v>
      </c>
      <c r="E84" s="2"/>
      <c r="F84" s="2"/>
      <c r="G84" s="34">
        <v>252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x14ac:dyDescent="0.2">
      <c r="A85" s="2" t="s">
        <v>91</v>
      </c>
      <c r="B85" s="2"/>
      <c r="C85" s="2">
        <v>1332</v>
      </c>
      <c r="D85" s="2">
        <f>C85/12</f>
        <v>111</v>
      </c>
      <c r="E85" s="2"/>
      <c r="F85" s="2"/>
      <c r="G85" s="34">
        <v>880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x14ac:dyDescent="0.2">
      <c r="A86" s="11" t="s">
        <v>94</v>
      </c>
      <c r="B86" s="11"/>
      <c r="C86" s="11">
        <f>C84+C85</f>
        <v>2580</v>
      </c>
      <c r="D86" s="11">
        <f>D84+D85</f>
        <v>215</v>
      </c>
      <c r="E86" s="11"/>
      <c r="F86" s="11"/>
      <c r="G86" s="34">
        <v>1200</v>
      </c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2"/>
    </row>
    <row r="87" spans="1:20" x14ac:dyDescent="0.2">
      <c r="A87" s="2"/>
      <c r="B87" s="2"/>
      <c r="C87" s="2"/>
      <c r="D87" s="2"/>
      <c r="E87" s="2"/>
      <c r="F87" s="2"/>
      <c r="G87" s="2">
        <f>G83+G84+G85+G86</f>
        <v>5332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x14ac:dyDescent="0.2">
      <c r="A88" s="4"/>
      <c r="B88" s="4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x14ac:dyDescent="0.2">
      <c r="A89" s="2"/>
      <c r="B89" s="2"/>
      <c r="C89" s="2"/>
      <c r="D89" s="2"/>
      <c r="E89" s="2"/>
      <c r="F89" s="2"/>
      <c r="G89" s="2"/>
      <c r="H89" s="2"/>
      <c r="I89" s="2"/>
      <c r="J89" s="9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x14ac:dyDescent="0.2">
      <c r="A90" s="2"/>
      <c r="B90" s="2"/>
      <c r="C90" s="2" t="s">
        <v>92</v>
      </c>
      <c r="D90" s="2" t="s">
        <v>93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x14ac:dyDescent="0.2">
      <c r="A91" s="2" t="s">
        <v>95</v>
      </c>
      <c r="B91" s="2"/>
      <c r="C91" s="2">
        <f>D91*12</f>
        <v>4140</v>
      </c>
      <c r="D91" s="2">
        <v>345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x14ac:dyDescent="0.2">
      <c r="A92" s="2" t="s">
        <v>96</v>
      </c>
      <c r="B92" s="2"/>
      <c r="C92" s="2">
        <f>D92*12</f>
        <v>3228</v>
      </c>
      <c r="D92" s="2">
        <v>269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x14ac:dyDescent="0.2">
      <c r="A93" s="11" t="s">
        <v>94</v>
      </c>
      <c r="B93" s="11"/>
      <c r="C93" s="11">
        <f>C91+C92</f>
        <v>7368</v>
      </c>
      <c r="D93" s="11">
        <f>D91+D92</f>
        <v>614</v>
      </c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2"/>
    </row>
    <row r="94" spans="1:20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x14ac:dyDescent="0.2">
      <c r="A99" s="2" t="s">
        <v>99</v>
      </c>
      <c r="B99" s="2"/>
      <c r="C99" s="2"/>
      <c r="D99" s="2" t="s">
        <v>132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x14ac:dyDescent="0.2">
      <c r="A101" s="2" t="s">
        <v>19</v>
      </c>
      <c r="B101" s="2">
        <f>C28</f>
        <v>2900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x14ac:dyDescent="0.2">
      <c r="A102" s="2" t="s">
        <v>31</v>
      </c>
      <c r="B102" s="2">
        <f>C29</f>
        <v>252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x14ac:dyDescent="0.2">
      <c r="A103" s="2" t="s">
        <v>35</v>
      </c>
      <c r="B103" s="2">
        <f>C30</f>
        <v>900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x14ac:dyDescent="0.2">
      <c r="A104" s="2" t="s">
        <v>54</v>
      </c>
      <c r="B104" s="2">
        <f>C31</f>
        <v>1900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x14ac:dyDescent="0.2">
      <c r="A106" s="2" t="s">
        <v>26</v>
      </c>
      <c r="B106" s="2">
        <f>SUM(B101:B104)</f>
        <v>5952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x14ac:dyDescent="0.2">
      <c r="A109" s="2" t="s">
        <v>107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x14ac:dyDescent="0.2">
      <c r="A110" s="2" t="s">
        <v>108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x14ac:dyDescent="0.2">
      <c r="A112" s="11"/>
      <c r="B112" s="11" t="s">
        <v>134</v>
      </c>
      <c r="C112" s="11" t="s">
        <v>135</v>
      </c>
      <c r="D112" s="11" t="s">
        <v>136</v>
      </c>
      <c r="E112" s="11" t="s">
        <v>137</v>
      </c>
      <c r="F112" s="11" t="s">
        <v>138</v>
      </c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2"/>
    </row>
    <row r="113" spans="1:20" x14ac:dyDescent="0.2">
      <c r="A113" s="2" t="s">
        <v>133</v>
      </c>
      <c r="B113" s="2" t="s">
        <v>149</v>
      </c>
      <c r="C113" s="2" t="s">
        <v>140</v>
      </c>
      <c r="D113" s="2" t="s">
        <v>149</v>
      </c>
      <c r="E113" s="2" t="s">
        <v>140</v>
      </c>
      <c r="F113" s="2" t="s">
        <v>140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x14ac:dyDescent="0.2">
      <c r="A114" s="2" t="s">
        <v>139</v>
      </c>
      <c r="B114" s="2" t="s">
        <v>140</v>
      </c>
      <c r="C114" s="2" t="s">
        <v>149</v>
      </c>
      <c r="D114" s="2" t="s">
        <v>140</v>
      </c>
      <c r="E114" s="2" t="s">
        <v>149</v>
      </c>
      <c r="F114" s="2" t="s">
        <v>149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x14ac:dyDescent="0.2">
      <c r="A116" s="2" t="s">
        <v>144</v>
      </c>
      <c r="B116" s="2">
        <v>700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x14ac:dyDescent="0.2">
      <c r="A117" s="2" t="s">
        <v>141</v>
      </c>
      <c r="B117" s="2">
        <v>-1000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x14ac:dyDescent="0.2">
      <c r="A118" s="2" t="s">
        <v>142</v>
      </c>
      <c r="B118" s="2">
        <v>-406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x14ac:dyDescent="0.2">
      <c r="A119" s="2" t="s">
        <v>143</v>
      </c>
      <c r="B119" s="2">
        <v>-150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x14ac:dyDescent="0.2">
      <c r="A120" s="2" t="s">
        <v>145</v>
      </c>
      <c r="B120" s="2">
        <v>-550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x14ac:dyDescent="0.2">
      <c r="A121" s="11" t="s">
        <v>146</v>
      </c>
      <c r="B121" s="11">
        <f>SUM(B116:B120)</f>
        <v>-1406</v>
      </c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2"/>
    </row>
    <row r="122" spans="1:20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x14ac:dyDescent="0.2">
      <c r="A124" s="2" t="s">
        <v>104</v>
      </c>
      <c r="B124" s="2">
        <v>5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x14ac:dyDescent="0.2">
      <c r="A125" s="2" t="s">
        <v>103</v>
      </c>
      <c r="B125" s="2">
        <v>0.06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x14ac:dyDescent="0.2">
      <c r="A126" s="2" t="s">
        <v>100</v>
      </c>
      <c r="B126" s="2">
        <f>50000</f>
        <v>50000</v>
      </c>
      <c r="C126" s="2" t="s">
        <v>102</v>
      </c>
      <c r="D126" s="2" t="s">
        <v>105</v>
      </c>
      <c r="E126" s="2" t="s">
        <v>103</v>
      </c>
      <c r="F126" s="2" t="s">
        <v>44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x14ac:dyDescent="0.2">
      <c r="A127" s="2" t="s">
        <v>101</v>
      </c>
      <c r="B127" s="2"/>
      <c r="C127" s="2">
        <v>50000</v>
      </c>
      <c r="D127" s="2">
        <f>C127/B124/12</f>
        <v>833.33333333333337</v>
      </c>
      <c r="E127" s="2">
        <f>((C127*B125)/12)*0.7</f>
        <v>175</v>
      </c>
      <c r="F127" s="2">
        <f>D127+E127</f>
        <v>1008.3333333333334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x14ac:dyDescent="0.2">
      <c r="A128" s="2" t="s">
        <v>106</v>
      </c>
      <c r="B128" s="2"/>
      <c r="C128" s="2">
        <v>100000</v>
      </c>
      <c r="D128" s="2">
        <f>C128/B124/12</f>
        <v>1666.6666666666667</v>
      </c>
      <c r="E128" s="2">
        <f>((C128*B125)/12)*0.7</f>
        <v>350</v>
      </c>
      <c r="F128" s="2">
        <f>D128+E128</f>
        <v>2016.6666666666667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</sheetData>
  <phoneticPr fontId="24" type="noConversion"/>
  <pageMargins left="0.75" right="0.75" top="1" bottom="1" header="0.5" footer="0.5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1"/>
  <sheetViews>
    <sheetView workbookViewId="0">
      <selection sqref="A1:IV65536"/>
    </sheetView>
  </sheetViews>
  <sheetFormatPr defaultRowHeight="12.75" x14ac:dyDescent="0.2"/>
  <cols>
    <col min="1" max="1" width="32.28515625" customWidth="1"/>
  </cols>
  <sheetData>
    <row r="1" spans="1:20" x14ac:dyDescent="0.2">
      <c r="A1" s="38" t="s">
        <v>46</v>
      </c>
      <c r="B1" s="38"/>
      <c r="C1" s="38"/>
      <c r="D1" s="38"/>
      <c r="E1" s="38"/>
      <c r="F1" s="38"/>
      <c r="G1" s="38" t="s">
        <v>46</v>
      </c>
      <c r="H1" s="38" t="s">
        <v>46</v>
      </c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">
      <c r="A2" s="38"/>
      <c r="B2" s="38"/>
      <c r="C2" s="38"/>
      <c r="D2" s="38"/>
      <c r="E2" s="38"/>
      <c r="F2" s="38"/>
      <c r="G2" s="38" t="s">
        <v>46</v>
      </c>
      <c r="H2" s="38" t="s">
        <v>46</v>
      </c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">
      <c r="A3" s="38" t="s">
        <v>46</v>
      </c>
      <c r="B3" s="38"/>
      <c r="C3" s="38"/>
      <c r="D3" s="38" t="s">
        <v>46</v>
      </c>
      <c r="E3" s="38" t="s">
        <v>46</v>
      </c>
      <c r="F3" s="39"/>
      <c r="G3" s="38"/>
      <c r="H3" s="38"/>
      <c r="I3" s="39"/>
      <c r="J3" s="38"/>
      <c r="K3" s="38"/>
      <c r="L3" s="38"/>
      <c r="M3" s="38"/>
      <c r="N3" s="38" t="s">
        <v>46</v>
      </c>
      <c r="O3" s="38" t="s">
        <v>46</v>
      </c>
      <c r="P3" s="38"/>
      <c r="Q3" s="38"/>
      <c r="R3" s="38"/>
      <c r="S3" s="38"/>
      <c r="T3" s="38"/>
    </row>
    <row r="4" spans="1:20" x14ac:dyDescent="0.2">
      <c r="A4" s="38"/>
      <c r="B4" s="38"/>
      <c r="C4" s="38" t="s">
        <v>46</v>
      </c>
      <c r="D4" s="38"/>
      <c r="E4" s="19" t="s">
        <v>46</v>
      </c>
      <c r="F4" s="38"/>
      <c r="G4" s="38" t="s">
        <v>46</v>
      </c>
      <c r="H4" s="38"/>
      <c r="I4" s="38"/>
      <c r="J4" s="38"/>
      <c r="K4" s="38"/>
      <c r="L4" s="40" t="s">
        <v>46</v>
      </c>
      <c r="M4" s="38" t="s">
        <v>46</v>
      </c>
      <c r="N4" s="38" t="s">
        <v>46</v>
      </c>
      <c r="O4" s="38" t="s">
        <v>46</v>
      </c>
      <c r="P4" s="38"/>
      <c r="Q4" s="38"/>
      <c r="R4" s="38"/>
      <c r="S4" s="38"/>
      <c r="T4" s="38"/>
    </row>
    <row r="5" spans="1:20" x14ac:dyDescent="0.2">
      <c r="A5" s="38" t="s">
        <v>51</v>
      </c>
      <c r="B5" s="38"/>
      <c r="C5" s="38"/>
      <c r="D5" s="38"/>
      <c r="E5" s="8"/>
      <c r="F5" s="38"/>
      <c r="G5" s="38"/>
      <c r="H5" s="38"/>
      <c r="I5" s="38"/>
      <c r="J5" s="38"/>
      <c r="K5" s="38"/>
      <c r="L5" s="38" t="s">
        <v>46</v>
      </c>
      <c r="M5" s="38" t="s">
        <v>46</v>
      </c>
      <c r="N5" s="38" t="s">
        <v>46</v>
      </c>
      <c r="O5" s="38" t="s">
        <v>46</v>
      </c>
      <c r="P5" s="38" t="s">
        <v>46</v>
      </c>
      <c r="Q5" s="38"/>
      <c r="R5" s="38"/>
      <c r="S5" s="38"/>
      <c r="T5" s="38"/>
    </row>
    <row r="6" spans="1:20" x14ac:dyDescent="0.2">
      <c r="A6" s="38" t="s">
        <v>18</v>
      </c>
      <c r="B6" s="38"/>
      <c r="C6" s="38">
        <v>12</v>
      </c>
      <c r="D6" s="38"/>
      <c r="E6" s="38"/>
      <c r="F6" s="41"/>
      <c r="G6" s="41"/>
      <c r="H6" s="38"/>
      <c r="I6" s="41"/>
      <c r="J6" s="41"/>
      <c r="K6" s="41"/>
      <c r="L6" s="41"/>
      <c r="M6" s="41"/>
      <c r="N6" s="41"/>
      <c r="O6" s="41"/>
      <c r="P6" s="38"/>
      <c r="Q6" s="38"/>
      <c r="R6" s="38"/>
      <c r="S6" s="38"/>
      <c r="T6" s="38"/>
    </row>
    <row r="7" spans="1:20" x14ac:dyDescent="0.2">
      <c r="A7" s="38" t="s">
        <v>79</v>
      </c>
      <c r="B7" s="38"/>
      <c r="C7" s="38"/>
      <c r="D7" s="38"/>
      <c r="E7" s="38"/>
      <c r="F7" s="41"/>
      <c r="G7" s="41"/>
      <c r="H7" s="38"/>
      <c r="I7" s="41"/>
      <c r="J7" s="41"/>
      <c r="K7" s="41"/>
      <c r="L7" s="41"/>
      <c r="M7" s="41" t="s">
        <v>46</v>
      </c>
      <c r="N7" s="41"/>
      <c r="O7" s="41"/>
      <c r="P7" s="38"/>
      <c r="Q7" s="38"/>
      <c r="R7" s="38"/>
      <c r="S7" s="38"/>
      <c r="T7" s="38"/>
    </row>
    <row r="8" spans="1:20" x14ac:dyDescent="0.2">
      <c r="A8" s="38" t="s">
        <v>29</v>
      </c>
      <c r="B8" s="38"/>
      <c r="C8" s="38"/>
      <c r="D8" s="38">
        <f>ROUND(SUM(E8:P8)/C6,0)</f>
        <v>57241</v>
      </c>
      <c r="E8" s="38">
        <f>29805+21469+2200+6046</f>
        <v>59520</v>
      </c>
      <c r="F8" s="38">
        <f>30045+22034+2200</f>
        <v>54279</v>
      </c>
      <c r="G8" s="38">
        <f>30045+22034+2200</f>
        <v>54279</v>
      </c>
      <c r="H8" s="38">
        <f>41112+22034+2200</f>
        <v>65346</v>
      </c>
      <c r="I8" s="38">
        <f>30045+22034+2200</f>
        <v>54279</v>
      </c>
      <c r="J8" s="38">
        <f>33034+25956+2200</f>
        <v>61190</v>
      </c>
      <c r="K8" s="38">
        <f>30066+22284+2200</f>
        <v>54550</v>
      </c>
      <c r="L8" s="38">
        <f>30066+23274+2200</f>
        <v>55540</v>
      </c>
      <c r="M8" s="38">
        <f>39858+24011+2200</f>
        <v>66069</v>
      </c>
      <c r="N8" s="38">
        <f>29858+21888+2200</f>
        <v>53946</v>
      </c>
      <c r="O8" s="38">
        <f>29858+21888+2200</f>
        <v>53946</v>
      </c>
      <c r="P8" s="38">
        <f>29858+21888+2200</f>
        <v>53946</v>
      </c>
      <c r="Q8" s="38"/>
      <c r="R8" s="38"/>
      <c r="S8" s="38"/>
      <c r="T8" s="38"/>
    </row>
    <row r="9" spans="1:20" x14ac:dyDescent="0.2">
      <c r="A9" s="38" t="s">
        <v>32</v>
      </c>
      <c r="B9" s="38"/>
      <c r="C9" s="38"/>
      <c r="D9" s="42">
        <f>ROUND(SUM(E9:P9)/C6,0)</f>
        <v>-1882</v>
      </c>
      <c r="E9" s="38">
        <f>E8-E11</f>
        <v>3139</v>
      </c>
      <c r="F9" s="38">
        <f>F8-F11</f>
        <v>-27076</v>
      </c>
      <c r="G9" s="38">
        <f>G8-G11</f>
        <v>5612</v>
      </c>
      <c r="H9" s="38">
        <f t="shared" ref="H9:P9" si="0">H8-H11</f>
        <v>9422</v>
      </c>
      <c r="I9" s="38">
        <f t="shared" si="0"/>
        <v>-326</v>
      </c>
      <c r="J9" s="38">
        <f t="shared" si="0"/>
        <v>15636</v>
      </c>
      <c r="K9" s="38">
        <f t="shared" si="0"/>
        <v>-15081</v>
      </c>
      <c r="L9" s="38">
        <f t="shared" si="0"/>
        <v>-5261</v>
      </c>
      <c r="M9" s="38">
        <f t="shared" si="0"/>
        <v>11096</v>
      </c>
      <c r="N9" s="38">
        <f t="shared" si="0"/>
        <v>-16490</v>
      </c>
      <c r="O9" s="38">
        <f t="shared" si="0"/>
        <v>-7509</v>
      </c>
      <c r="P9" s="38">
        <f t="shared" si="0"/>
        <v>4256</v>
      </c>
      <c r="Q9" s="38"/>
      <c r="R9" s="38"/>
      <c r="S9" s="38"/>
      <c r="T9" s="38"/>
    </row>
    <row r="10" spans="1:20" x14ac:dyDescent="0.2">
      <c r="A10" s="3" t="s">
        <v>0</v>
      </c>
      <c r="B10" s="3"/>
      <c r="C10" s="43" t="s">
        <v>1</v>
      </c>
      <c r="D10" s="7" t="s">
        <v>5</v>
      </c>
      <c r="E10" s="44" t="s">
        <v>6</v>
      </c>
      <c r="F10" s="44" t="s">
        <v>7</v>
      </c>
      <c r="G10" s="43" t="s">
        <v>8</v>
      </c>
      <c r="H10" s="44" t="s">
        <v>9</v>
      </c>
      <c r="I10" s="44" t="s">
        <v>10</v>
      </c>
      <c r="J10" s="44" t="s">
        <v>11</v>
      </c>
      <c r="K10" s="44" t="s">
        <v>12</v>
      </c>
      <c r="L10" s="44" t="s">
        <v>13</v>
      </c>
      <c r="M10" s="44" t="s">
        <v>14</v>
      </c>
      <c r="N10" s="44" t="s">
        <v>192</v>
      </c>
      <c r="O10" s="44" t="s">
        <v>16</v>
      </c>
      <c r="P10" s="44" t="s">
        <v>17</v>
      </c>
      <c r="Q10" s="3"/>
      <c r="R10" s="3"/>
      <c r="S10" s="38"/>
      <c r="T10" s="38"/>
    </row>
    <row r="11" spans="1:20" x14ac:dyDescent="0.2">
      <c r="A11" s="3" t="s">
        <v>26</v>
      </c>
      <c r="B11" s="38"/>
      <c r="C11" s="43"/>
      <c r="D11" s="38">
        <f>ROUND(SUM(E11:P11)/C6,0)</f>
        <v>59123</v>
      </c>
      <c r="E11" s="43">
        <f t="shared" ref="E11:P11" si="1">SUM(E12:E42)</f>
        <v>56381</v>
      </c>
      <c r="F11" s="43">
        <f t="shared" si="1"/>
        <v>81355</v>
      </c>
      <c r="G11" s="43">
        <f>SUM(G12:G42)</f>
        <v>48667</v>
      </c>
      <c r="H11" s="43">
        <f t="shared" si="1"/>
        <v>55924</v>
      </c>
      <c r="I11" s="43">
        <f t="shared" si="1"/>
        <v>54605</v>
      </c>
      <c r="J11" s="43">
        <f t="shared" si="1"/>
        <v>45554</v>
      </c>
      <c r="K11" s="43">
        <f t="shared" si="1"/>
        <v>69631</v>
      </c>
      <c r="L11" s="43">
        <f t="shared" si="1"/>
        <v>60801</v>
      </c>
      <c r="M11" s="43">
        <f t="shared" si="1"/>
        <v>54973</v>
      </c>
      <c r="N11" s="43">
        <f t="shared" si="1"/>
        <v>70436</v>
      </c>
      <c r="O11" s="43">
        <f t="shared" si="1"/>
        <v>61455</v>
      </c>
      <c r="P11" s="43">
        <f t="shared" si="1"/>
        <v>49690</v>
      </c>
      <c r="Q11" s="3"/>
      <c r="R11" s="3"/>
      <c r="S11" s="38"/>
      <c r="T11" s="38"/>
    </row>
    <row r="12" spans="1:20" x14ac:dyDescent="0.2">
      <c r="A12" s="38" t="s">
        <v>28</v>
      </c>
      <c r="B12" s="38" t="s">
        <v>113</v>
      </c>
      <c r="C12" s="37">
        <v>10300</v>
      </c>
      <c r="D12" s="25">
        <f>ROUND(SUM(E12:P12)/C6,0)</f>
        <v>5654</v>
      </c>
      <c r="E12" s="38">
        <v>8105</v>
      </c>
      <c r="F12" s="38">
        <v>8096</v>
      </c>
      <c r="G12" s="38">
        <v>8087</v>
      </c>
      <c r="H12" s="38">
        <v>4560</v>
      </c>
      <c r="I12" s="38">
        <v>4410</v>
      </c>
      <c r="J12" s="38">
        <v>4409</v>
      </c>
      <c r="K12" s="38">
        <v>4941</v>
      </c>
      <c r="L12" s="38">
        <v>4780</v>
      </c>
      <c r="M12" s="38">
        <v>4779</v>
      </c>
      <c r="N12" s="38">
        <v>5349</v>
      </c>
      <c r="O12" s="38">
        <v>5168</v>
      </c>
      <c r="P12" s="38">
        <v>5167</v>
      </c>
      <c r="Q12" s="38"/>
      <c r="R12" s="38"/>
      <c r="S12" s="38"/>
      <c r="T12" s="38"/>
    </row>
    <row r="13" spans="1:20" x14ac:dyDescent="0.2">
      <c r="A13" s="38" t="s">
        <v>168</v>
      </c>
      <c r="B13" s="38" t="s">
        <v>113</v>
      </c>
      <c r="C13" s="14">
        <v>2100</v>
      </c>
      <c r="D13" s="25">
        <f>ROUND(SUM(E13:P13)/C6,0)</f>
        <v>2489</v>
      </c>
      <c r="E13" s="38">
        <f>3407+1253</f>
        <v>4660</v>
      </c>
      <c r="F13" s="38" t="s">
        <v>46</v>
      </c>
      <c r="G13" s="38">
        <f>6860+1786</f>
        <v>8646</v>
      </c>
      <c r="H13" s="38">
        <f>5438</f>
        <v>5438</v>
      </c>
      <c r="I13" s="38">
        <v>1120</v>
      </c>
      <c r="J13" s="38">
        <v>2158</v>
      </c>
      <c r="K13" s="38">
        <f>754</f>
        <v>754</v>
      </c>
      <c r="L13" s="38">
        <f>1538</f>
        <v>1538</v>
      </c>
      <c r="M13" s="38">
        <f>703</f>
        <v>703</v>
      </c>
      <c r="N13" s="38">
        <f>1741</f>
        <v>1741</v>
      </c>
      <c r="O13">
        <f>2252+857</f>
        <v>3109</v>
      </c>
      <c r="P13" s="38" t="s">
        <v>46</v>
      </c>
      <c r="Q13" s="38"/>
      <c r="R13" s="38"/>
      <c r="S13" s="38"/>
      <c r="T13" s="38"/>
    </row>
    <row r="14" spans="1:20" x14ac:dyDescent="0.2">
      <c r="A14" s="38" t="s">
        <v>169</v>
      </c>
      <c r="B14" s="38" t="s">
        <v>113</v>
      </c>
      <c r="C14" s="14">
        <v>500</v>
      </c>
      <c r="D14" s="25">
        <f>ROUND(SUM(E14:P14)/C6,0)</f>
        <v>538</v>
      </c>
      <c r="E14" s="38">
        <f>988-E15</f>
        <v>600</v>
      </c>
      <c r="F14" s="38">
        <f>805-F15</f>
        <v>417</v>
      </c>
      <c r="G14" s="38">
        <f>836-G15</f>
        <v>448</v>
      </c>
      <c r="H14" s="38">
        <f>1019-H15</f>
        <v>631</v>
      </c>
      <c r="I14" s="38">
        <f>765-I15</f>
        <v>377</v>
      </c>
      <c r="J14" s="38">
        <f>680-J15</f>
        <v>292</v>
      </c>
      <c r="K14" s="38">
        <f>657-K15</f>
        <v>269</v>
      </c>
      <c r="L14" s="38">
        <f>1144-L15</f>
        <v>756</v>
      </c>
      <c r="M14" s="38">
        <f>1048-M15</f>
        <v>660</v>
      </c>
      <c r="N14" s="38">
        <f>1085-N15</f>
        <v>697</v>
      </c>
      <c r="O14" s="38">
        <f>1207-O15</f>
        <v>819</v>
      </c>
      <c r="P14" s="38">
        <f>879-P15</f>
        <v>491</v>
      </c>
      <c r="Q14" s="38"/>
      <c r="R14" s="38"/>
      <c r="S14" s="38"/>
      <c r="T14" s="38"/>
    </row>
    <row r="15" spans="1:20" x14ac:dyDescent="0.2">
      <c r="A15" s="38" t="s">
        <v>78</v>
      </c>
      <c r="B15" s="38" t="s">
        <v>113</v>
      </c>
      <c r="C15" s="34">
        <v>349</v>
      </c>
      <c r="D15" s="25">
        <f>ROUND(SUM(E15:P15)/C6,0)</f>
        <v>388</v>
      </c>
      <c r="E15" s="38">
        <v>388</v>
      </c>
      <c r="F15" s="38">
        <v>388</v>
      </c>
      <c r="G15" s="38">
        <v>388</v>
      </c>
      <c r="H15" s="38">
        <v>388</v>
      </c>
      <c r="I15" s="38">
        <v>388</v>
      </c>
      <c r="J15" s="38">
        <v>388</v>
      </c>
      <c r="K15" s="38">
        <v>388</v>
      </c>
      <c r="L15" s="38">
        <v>388</v>
      </c>
      <c r="M15" s="38">
        <v>388</v>
      </c>
      <c r="N15" s="38">
        <v>388</v>
      </c>
      <c r="O15" s="38">
        <v>388</v>
      </c>
      <c r="P15" s="38">
        <v>388</v>
      </c>
      <c r="Q15" s="38"/>
      <c r="R15" s="38"/>
      <c r="S15" s="38"/>
      <c r="T15" s="38"/>
    </row>
    <row r="16" spans="1:20" x14ac:dyDescent="0.2">
      <c r="A16" s="38" t="s">
        <v>70</v>
      </c>
      <c r="B16" s="38" t="s">
        <v>113</v>
      </c>
      <c r="C16" s="34">
        <v>130</v>
      </c>
      <c r="D16" s="25">
        <f>ROUND(SUM(E16:P16)/C6,0)</f>
        <v>62</v>
      </c>
      <c r="E16" s="38" t="s">
        <v>46</v>
      </c>
      <c r="F16" s="38" t="s">
        <v>46</v>
      </c>
      <c r="G16" s="38" t="s">
        <v>46</v>
      </c>
      <c r="H16" s="38" t="s">
        <v>46</v>
      </c>
      <c r="I16" s="38" t="s">
        <v>46</v>
      </c>
      <c r="J16" s="38" t="s">
        <v>46</v>
      </c>
      <c r="K16" s="38" t="s">
        <v>46</v>
      </c>
      <c r="L16" s="38" t="s">
        <v>46</v>
      </c>
      <c r="M16" s="38" t="s">
        <v>46</v>
      </c>
      <c r="N16" s="38">
        <f>289</f>
        <v>289</v>
      </c>
      <c r="O16" s="38">
        <f>237</f>
        <v>237</v>
      </c>
      <c r="P16" s="38">
        <v>213</v>
      </c>
      <c r="Q16" s="38"/>
      <c r="R16" s="38"/>
      <c r="S16" s="38"/>
      <c r="T16" s="38"/>
    </row>
    <row r="17" spans="1:20" x14ac:dyDescent="0.2">
      <c r="A17" s="38" t="s">
        <v>36</v>
      </c>
      <c r="B17" s="38" t="s">
        <v>113</v>
      </c>
      <c r="C17" s="14">
        <v>562</v>
      </c>
      <c r="D17" s="25">
        <f>ROUND(SUM(E17:P17)/C6,0)</f>
        <v>536</v>
      </c>
      <c r="E17" s="38" t="s">
        <v>46</v>
      </c>
      <c r="F17" s="38" t="s">
        <v>46</v>
      </c>
      <c r="G17" s="38">
        <f>1597</f>
        <v>1597</v>
      </c>
      <c r="H17" s="38" t="s">
        <v>46</v>
      </c>
      <c r="I17" s="38" t="s">
        <v>46</v>
      </c>
      <c r="J17" s="38">
        <v>1609</v>
      </c>
      <c r="K17" s="38" t="s">
        <v>46</v>
      </c>
      <c r="L17" s="38" t="s">
        <v>46</v>
      </c>
      <c r="M17" s="38">
        <v>1656</v>
      </c>
      <c r="N17" s="38" t="s">
        <v>46</v>
      </c>
      <c r="O17" s="38" t="s">
        <v>46</v>
      </c>
      <c r="P17" s="38">
        <v>1575</v>
      </c>
      <c r="Q17" s="38"/>
      <c r="R17" s="38"/>
      <c r="S17" s="38"/>
      <c r="T17" s="38"/>
    </row>
    <row r="18" spans="1:20" x14ac:dyDescent="0.2">
      <c r="A18" s="38" t="s">
        <v>191</v>
      </c>
      <c r="B18" s="38" t="s">
        <v>113</v>
      </c>
      <c r="C18" s="34">
        <v>441</v>
      </c>
      <c r="D18" s="25">
        <f>ROUND(SUM(E18:P18)/C6,0)</f>
        <v>606</v>
      </c>
      <c r="E18" s="38">
        <v>447</v>
      </c>
      <c r="F18" s="38">
        <v>554</v>
      </c>
      <c r="G18" s="38">
        <v>779</v>
      </c>
      <c r="H18" s="38">
        <v>610</v>
      </c>
      <c r="I18" s="38">
        <v>610</v>
      </c>
      <c r="J18" s="38">
        <v>610</v>
      </c>
      <c r="K18" s="38">
        <v>610</v>
      </c>
      <c r="L18" s="38">
        <v>610</v>
      </c>
      <c r="M18" s="38">
        <v>610</v>
      </c>
      <c r="N18" s="38">
        <v>610</v>
      </c>
      <c r="O18" s="38">
        <v>610</v>
      </c>
      <c r="P18" s="38">
        <v>610</v>
      </c>
      <c r="Q18" s="38"/>
      <c r="R18" s="38"/>
      <c r="S18" s="38"/>
      <c r="T18" s="38"/>
    </row>
    <row r="19" spans="1:20" x14ac:dyDescent="0.2">
      <c r="A19" s="38" t="s">
        <v>22</v>
      </c>
      <c r="B19" s="38" t="s">
        <v>113</v>
      </c>
      <c r="C19" s="34">
        <v>170</v>
      </c>
      <c r="D19" s="25">
        <f>ROUND(SUM(E19:P19)/C6,0)</f>
        <v>173</v>
      </c>
      <c r="E19" s="38" t="s">
        <v>46</v>
      </c>
      <c r="F19" s="38" t="s">
        <v>46</v>
      </c>
      <c r="G19" s="38">
        <v>519</v>
      </c>
      <c r="H19" s="38" t="s">
        <v>46</v>
      </c>
      <c r="I19" s="38" t="s">
        <v>46</v>
      </c>
      <c r="J19" s="38">
        <v>519</v>
      </c>
      <c r="K19" s="38" t="s">
        <v>46</v>
      </c>
      <c r="L19" s="38" t="s">
        <v>46</v>
      </c>
      <c r="M19" s="38">
        <v>519</v>
      </c>
      <c r="N19" s="38" t="s">
        <v>46</v>
      </c>
      <c r="O19" s="38" t="s">
        <v>46</v>
      </c>
      <c r="P19" s="38">
        <v>519</v>
      </c>
      <c r="Q19" s="38"/>
      <c r="R19" s="38"/>
      <c r="S19" s="38"/>
      <c r="T19" s="38"/>
    </row>
    <row r="20" spans="1:20" x14ac:dyDescent="0.2">
      <c r="A20" s="38" t="s">
        <v>23</v>
      </c>
      <c r="B20" s="38" t="s">
        <v>113</v>
      </c>
      <c r="C20" s="34">
        <v>373</v>
      </c>
      <c r="D20" s="25">
        <f>ROUND(SUM(E20:P20)/C6,0)</f>
        <v>375</v>
      </c>
      <c r="E20" s="38" t="s">
        <v>46</v>
      </c>
      <c r="F20" s="38" t="s">
        <v>46</v>
      </c>
      <c r="G20" s="38" t="s">
        <v>46</v>
      </c>
      <c r="H20" s="38" t="s">
        <v>46</v>
      </c>
      <c r="I20" s="38" t="s">
        <v>46</v>
      </c>
      <c r="J20" s="38" t="s">
        <v>46</v>
      </c>
      <c r="K20" s="38" t="s">
        <v>46</v>
      </c>
      <c r="L20" s="38" t="s">
        <v>46</v>
      </c>
      <c r="M20" s="38">
        <f>4275</f>
        <v>4275</v>
      </c>
      <c r="N20" s="38" t="s">
        <v>46</v>
      </c>
      <c r="O20" s="38">
        <v>220</v>
      </c>
      <c r="P20" s="38" t="s">
        <v>46</v>
      </c>
      <c r="Q20" s="38"/>
      <c r="R20" s="38" t="s">
        <v>46</v>
      </c>
      <c r="S20" s="38"/>
      <c r="T20" s="38"/>
    </row>
    <row r="21" spans="1:20" x14ac:dyDescent="0.2">
      <c r="A21" s="38" t="s">
        <v>60</v>
      </c>
      <c r="B21" s="38" t="s">
        <v>113</v>
      </c>
      <c r="C21" s="34">
        <v>74</v>
      </c>
      <c r="D21" s="25">
        <f>ROUND(SUM(E21:P21)/C6,0)</f>
        <v>167</v>
      </c>
      <c r="E21" s="38">
        <v>951</v>
      </c>
      <c r="F21" s="38" t="s">
        <v>46</v>
      </c>
      <c r="G21" s="38" t="s">
        <v>46</v>
      </c>
      <c r="H21" s="38" t="s">
        <v>46</v>
      </c>
      <c r="I21" s="38" t="s">
        <v>46</v>
      </c>
      <c r="J21" s="38" t="s">
        <v>46</v>
      </c>
      <c r="K21" s="38" t="s">
        <v>46</v>
      </c>
      <c r="L21" s="38" t="s">
        <v>46</v>
      </c>
      <c r="M21" s="38" t="s">
        <v>46</v>
      </c>
      <c r="N21" s="38" t="s">
        <v>46</v>
      </c>
      <c r="O21" s="38">
        <v>1056</v>
      </c>
      <c r="P21" s="38" t="s">
        <v>46</v>
      </c>
      <c r="Q21" s="38"/>
      <c r="R21" s="38"/>
      <c r="S21" s="38"/>
      <c r="T21" s="38"/>
    </row>
    <row r="22" spans="1:20" x14ac:dyDescent="0.2">
      <c r="A22" s="38" t="s">
        <v>50</v>
      </c>
      <c r="B22" s="38" t="s">
        <v>113</v>
      </c>
      <c r="C22" s="34">
        <v>180</v>
      </c>
      <c r="D22" s="25">
        <f>ROUND(SUM(E22:P22)/C6,0)</f>
        <v>206</v>
      </c>
      <c r="E22" s="38" t="s">
        <v>46</v>
      </c>
      <c r="F22" s="38" t="s">
        <v>46</v>
      </c>
      <c r="G22" s="38" t="s">
        <v>46</v>
      </c>
      <c r="H22" s="38" t="s">
        <v>46</v>
      </c>
      <c r="I22" s="38" t="s">
        <v>46</v>
      </c>
      <c r="J22" s="38" t="s">
        <v>46</v>
      </c>
      <c r="K22" s="38" t="s">
        <v>46</v>
      </c>
      <c r="L22" s="38" t="s">
        <v>46</v>
      </c>
      <c r="M22" s="38">
        <v>2475</v>
      </c>
      <c r="N22" s="38" t="s">
        <v>46</v>
      </c>
      <c r="O22" s="38" t="s">
        <v>46</v>
      </c>
      <c r="P22" s="38" t="s">
        <v>46</v>
      </c>
      <c r="Q22" s="38"/>
      <c r="R22" s="38" t="s">
        <v>46</v>
      </c>
      <c r="S22" s="38"/>
      <c r="T22" s="38"/>
    </row>
    <row r="23" spans="1:20" x14ac:dyDescent="0.2">
      <c r="A23" s="38" t="s">
        <v>34</v>
      </c>
      <c r="B23" s="38" t="s">
        <v>116</v>
      </c>
      <c r="C23" s="34">
        <v>166</v>
      </c>
      <c r="D23" s="25">
        <f>ROUND(SUM(E23:P23)/C6,0)</f>
        <v>108</v>
      </c>
      <c r="E23" s="38">
        <v>108</v>
      </c>
      <c r="F23" s="38">
        <v>108</v>
      </c>
      <c r="G23" s="38">
        <v>108</v>
      </c>
      <c r="H23" s="38">
        <v>108</v>
      </c>
      <c r="I23" s="38">
        <v>108</v>
      </c>
      <c r="J23" s="38">
        <v>108</v>
      </c>
      <c r="K23" s="38">
        <v>108</v>
      </c>
      <c r="L23" s="38">
        <v>108</v>
      </c>
      <c r="M23" s="38">
        <v>108</v>
      </c>
      <c r="N23" s="38">
        <v>108</v>
      </c>
      <c r="O23" s="38">
        <v>108</v>
      </c>
      <c r="P23" s="38">
        <v>108</v>
      </c>
      <c r="Q23" s="38"/>
      <c r="R23" s="38"/>
      <c r="S23" s="38"/>
      <c r="T23" s="38"/>
    </row>
    <row r="24" spans="1:20" x14ac:dyDescent="0.2">
      <c r="A24" s="38" t="s">
        <v>25</v>
      </c>
      <c r="B24" s="38" t="s">
        <v>116</v>
      </c>
      <c r="C24" s="34">
        <v>260</v>
      </c>
      <c r="D24" s="25">
        <f>ROUND(SUM(E24:P24)/C6,0)</f>
        <v>323</v>
      </c>
      <c r="E24" s="38" t="s">
        <v>46</v>
      </c>
      <c r="F24" s="38" t="s">
        <v>46</v>
      </c>
      <c r="G24" s="38" t="s">
        <v>46</v>
      </c>
      <c r="H24" s="38" t="s">
        <v>46</v>
      </c>
      <c r="I24" s="38" t="s">
        <v>46</v>
      </c>
      <c r="J24" s="38" t="s">
        <v>46</v>
      </c>
      <c r="K24" s="38" t="s">
        <v>46</v>
      </c>
      <c r="L24" s="38" t="s">
        <v>46</v>
      </c>
      <c r="M24" s="38">
        <f>368</f>
        <v>368</v>
      </c>
      <c r="N24" s="38">
        <f>1849+832</f>
        <v>2681</v>
      </c>
      <c r="O24" s="38">
        <v>829</v>
      </c>
      <c r="P24" s="38" t="s">
        <v>46</v>
      </c>
      <c r="Q24" s="38"/>
      <c r="R24" s="38"/>
      <c r="S24" s="38"/>
      <c r="T24" s="38"/>
    </row>
    <row r="25" spans="1:20" x14ac:dyDescent="0.2">
      <c r="A25" s="38" t="s">
        <v>52</v>
      </c>
      <c r="B25" s="38" t="s">
        <v>116</v>
      </c>
      <c r="C25" s="34">
        <v>1121</v>
      </c>
      <c r="D25" s="25">
        <f>ROUND(SUM(E25:P25)/C6,0)</f>
        <v>95</v>
      </c>
      <c r="E25" s="38" t="s">
        <v>46</v>
      </c>
      <c r="F25" s="38" t="s">
        <v>46</v>
      </c>
      <c r="G25" s="38">
        <f>571+571</f>
        <v>1142</v>
      </c>
      <c r="I25" s="38" t="s">
        <v>46</v>
      </c>
      <c r="J25" s="38" t="s">
        <v>46</v>
      </c>
      <c r="K25" s="38" t="s">
        <v>46</v>
      </c>
      <c r="L25" s="38" t="s">
        <v>46</v>
      </c>
      <c r="M25" s="38" t="s">
        <v>46</v>
      </c>
      <c r="N25" s="38" t="s">
        <v>46</v>
      </c>
      <c r="O25" s="38" t="s">
        <v>46</v>
      </c>
      <c r="P25" s="38" t="s">
        <v>46</v>
      </c>
      <c r="Q25" s="38"/>
      <c r="R25" s="38"/>
      <c r="S25" s="38"/>
      <c r="T25" s="38"/>
    </row>
    <row r="26" spans="1:20" x14ac:dyDescent="0.2">
      <c r="A26" s="38" t="s">
        <v>189</v>
      </c>
      <c r="B26" s="38" t="s">
        <v>116</v>
      </c>
      <c r="C26" s="34">
        <v>37</v>
      </c>
      <c r="D26" s="25">
        <f>ROUND(SUM(E26:P26)/C6,0)</f>
        <v>166</v>
      </c>
      <c r="E26" s="38" t="s">
        <v>46</v>
      </c>
      <c r="F26" s="38" t="s">
        <v>46</v>
      </c>
      <c r="G26" s="38" t="s">
        <v>46</v>
      </c>
      <c r="H26" s="38" t="s">
        <v>46</v>
      </c>
      <c r="I26" s="38" t="s">
        <v>46</v>
      </c>
      <c r="J26" s="38" t="s">
        <v>46</v>
      </c>
      <c r="K26" s="38">
        <v>498</v>
      </c>
      <c r="L26" s="38" t="s">
        <v>46</v>
      </c>
      <c r="M26" s="38" t="s">
        <v>46</v>
      </c>
      <c r="N26" s="38" t="s">
        <v>46</v>
      </c>
      <c r="O26" s="38">
        <v>1496</v>
      </c>
      <c r="P26" s="38" t="s">
        <v>46</v>
      </c>
      <c r="Q26" s="38"/>
      <c r="R26" s="38"/>
      <c r="S26" s="38"/>
      <c r="T26" s="38"/>
    </row>
    <row r="27" spans="1:20" x14ac:dyDescent="0.2">
      <c r="A27" s="38" t="s">
        <v>19</v>
      </c>
      <c r="B27" s="38" t="s">
        <v>114</v>
      </c>
      <c r="C27" s="14">
        <v>2900</v>
      </c>
      <c r="D27" s="25">
        <f>ROUND(SUM(E27:P27)/C6,0)</f>
        <v>2808</v>
      </c>
      <c r="E27" s="38">
        <f>3240+45</f>
        <v>3285</v>
      </c>
      <c r="F27" s="38">
        <f>112+2802</f>
        <v>2914</v>
      </c>
      <c r="G27" s="38">
        <f>678+1375</f>
        <v>2053</v>
      </c>
      <c r="H27" s="38">
        <f>3106-H29+3890</f>
        <v>4177</v>
      </c>
      <c r="I27" s="38">
        <f>111+2628</f>
        <v>2739</v>
      </c>
      <c r="J27" s="38">
        <f>192+3127</f>
        <v>3319</v>
      </c>
      <c r="K27" s="38">
        <f>624+1067</f>
        <v>1691</v>
      </c>
      <c r="L27" s="38">
        <f>633+2637</f>
        <v>3270</v>
      </c>
      <c r="M27" s="38">
        <f>2146+107</f>
        <v>2253</v>
      </c>
      <c r="N27" s="38">
        <f>36+2800</f>
        <v>2836</v>
      </c>
      <c r="O27" s="38">
        <f>1935+95</f>
        <v>2030</v>
      </c>
      <c r="P27" s="38">
        <v>3133</v>
      </c>
      <c r="Q27" s="38"/>
      <c r="R27" s="38"/>
      <c r="S27" s="38"/>
      <c r="T27" s="38"/>
    </row>
    <row r="28" spans="1:20" x14ac:dyDescent="0.2">
      <c r="A28" s="38" t="s">
        <v>31</v>
      </c>
      <c r="B28" s="38" t="s">
        <v>114</v>
      </c>
      <c r="C28" s="34">
        <v>252</v>
      </c>
      <c r="D28" s="25">
        <f>ROUND(SUM(E28:P28)/C6,0)</f>
        <v>135</v>
      </c>
      <c r="E28" s="38" t="s">
        <v>46</v>
      </c>
      <c r="F28" s="38" t="s">
        <v>46</v>
      </c>
      <c r="G28" s="38" t="s">
        <v>46</v>
      </c>
      <c r="H28" s="38" t="s">
        <v>46</v>
      </c>
      <c r="I28" s="38">
        <f>100+1517</f>
        <v>1617</v>
      </c>
      <c r="J28" s="38" t="s">
        <v>46</v>
      </c>
      <c r="K28" s="38" t="s">
        <v>46</v>
      </c>
      <c r="L28" s="38" t="s">
        <v>46</v>
      </c>
      <c r="M28" s="38" t="s">
        <v>46</v>
      </c>
      <c r="N28" s="38" t="s">
        <v>46</v>
      </c>
      <c r="O28" s="38" t="s">
        <v>46</v>
      </c>
      <c r="P28" s="38" t="s">
        <v>46</v>
      </c>
      <c r="Q28" s="38" t="s">
        <v>46</v>
      </c>
      <c r="R28" s="38"/>
      <c r="S28" s="38"/>
      <c r="T28" s="38"/>
    </row>
    <row r="29" spans="1:20" x14ac:dyDescent="0.2">
      <c r="A29" s="38" t="s">
        <v>35</v>
      </c>
      <c r="B29" s="38" t="s">
        <v>114</v>
      </c>
      <c r="C29" s="34">
        <v>900</v>
      </c>
      <c r="D29" s="25">
        <f>ROUND(SUM(E29:P29)/C6,0)</f>
        <v>508</v>
      </c>
      <c r="E29" s="38" t="s">
        <v>46</v>
      </c>
      <c r="F29" s="38" t="s">
        <v>46</v>
      </c>
      <c r="H29" s="38">
        <v>2819</v>
      </c>
      <c r="I29" s="38" t="s">
        <v>46</v>
      </c>
      <c r="J29" s="38" t="s">
        <v>46</v>
      </c>
      <c r="K29" s="38" t="s">
        <v>46</v>
      </c>
      <c r="L29" s="38" t="s">
        <v>46</v>
      </c>
      <c r="M29" s="38" t="s">
        <v>46</v>
      </c>
      <c r="N29" s="38">
        <v>3279</v>
      </c>
      <c r="O29" s="38" t="s">
        <v>46</v>
      </c>
      <c r="P29" s="38" t="s">
        <v>46</v>
      </c>
      <c r="Q29" s="38"/>
      <c r="R29" s="38"/>
      <c r="S29" s="38"/>
      <c r="T29" s="38"/>
    </row>
    <row r="30" spans="1:20" x14ac:dyDescent="0.2">
      <c r="A30" s="38" t="s">
        <v>54</v>
      </c>
      <c r="B30" s="38" t="s">
        <v>114</v>
      </c>
      <c r="C30" s="14">
        <v>1900</v>
      </c>
      <c r="D30" s="25">
        <f>ROUND(SUM(E30:P30)/C6,0)</f>
        <v>411</v>
      </c>
      <c r="E30" s="38">
        <v>4929</v>
      </c>
      <c r="F30" s="38" t="s">
        <v>46</v>
      </c>
      <c r="G30" s="38" t="s">
        <v>46</v>
      </c>
      <c r="H30" s="38" t="s">
        <v>46</v>
      </c>
      <c r="I30" s="38" t="s">
        <v>46</v>
      </c>
      <c r="J30" s="38" t="s">
        <v>46</v>
      </c>
      <c r="K30" s="38" t="s">
        <v>46</v>
      </c>
      <c r="L30" s="38" t="s">
        <v>46</v>
      </c>
      <c r="M30" s="38" t="s">
        <v>46</v>
      </c>
      <c r="N30" s="38">
        <v>0</v>
      </c>
      <c r="O30" s="38" t="s">
        <v>46</v>
      </c>
      <c r="P30" s="38" t="s">
        <v>46</v>
      </c>
      <c r="Q30" s="38"/>
      <c r="R30" s="38"/>
      <c r="S30" s="38"/>
      <c r="T30" s="38"/>
    </row>
    <row r="31" spans="1:20" x14ac:dyDescent="0.2">
      <c r="B31" s="18" t="s">
        <v>46</v>
      </c>
      <c r="C31" s="25"/>
      <c r="D31" s="25"/>
      <c r="T31" s="38"/>
    </row>
    <row r="32" spans="1:20" x14ac:dyDescent="0.2">
      <c r="A32" s="43" t="s">
        <v>27</v>
      </c>
      <c r="B32" s="38" t="s">
        <v>27</v>
      </c>
      <c r="C32" s="34">
        <v>9900</v>
      </c>
      <c r="D32" s="25">
        <f>ROUND(SUM(E32:P32)/C6,0)</f>
        <v>10160</v>
      </c>
      <c r="E32" s="38">
        <f>435+1227+155+1254+280+134+172+482+111+324+134+1821+530+339+102+543+1224+1695+134+200+204+260+1072+76+125</f>
        <v>13033</v>
      </c>
      <c r="F32" s="38">
        <v>9900</v>
      </c>
      <c r="G32" s="38">
        <f>329+257+312+429+304+353+46+1747+79+195+385+1359+630+1342+1213</f>
        <v>8980</v>
      </c>
      <c r="H32" s="38">
        <f>186+715+56+665+1104+162+185+260+297+1524+1970+1070+316+103+463+221+1079+89+200+1173+172</f>
        <v>12010</v>
      </c>
      <c r="I32" s="38">
        <f>179+358+94+305+21+379+101+105+436+1200+459+381+150+184+70+88+212+119+170+194+1111+1204+306+65+324+140+249+194+118+825+1337</f>
        <v>11078</v>
      </c>
      <c r="J32" s="38">
        <v>9900</v>
      </c>
      <c r="K32" s="38">
        <v>9900</v>
      </c>
      <c r="L32" s="38">
        <f>500+335+214+265+1244+95+140+1232+216+138+182+234+90+158+328+253+117+960+169+67+1460+75</f>
        <v>8472</v>
      </c>
      <c r="M32" s="38">
        <v>9000</v>
      </c>
      <c r="N32" s="38">
        <f>357+265+126+92+475+166+241+129+213+108+196+387+244+1285+100+855+1365+1034+105+1455+222+986+1048+190</f>
        <v>11644</v>
      </c>
      <c r="O32" s="38">
        <v>9000</v>
      </c>
      <c r="P32" s="25">
        <v>9000</v>
      </c>
      <c r="Q32" s="38"/>
      <c r="R32" s="38"/>
      <c r="S32" s="38"/>
      <c r="T32" s="38"/>
    </row>
    <row r="33" spans="1:20" x14ac:dyDescent="0.2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38"/>
    </row>
    <row r="34" spans="1:20" x14ac:dyDescent="0.2">
      <c r="A34" s="11" t="s">
        <v>174</v>
      </c>
      <c r="B34" s="11"/>
      <c r="C34" s="12" t="s">
        <v>46</v>
      </c>
      <c r="D34" s="13"/>
      <c r="E34" s="11"/>
      <c r="F34" s="11">
        <v>0</v>
      </c>
      <c r="G34" s="11"/>
      <c r="H34" s="11"/>
      <c r="I34" s="11"/>
      <c r="J34" s="11"/>
      <c r="K34" s="11">
        <v>0</v>
      </c>
      <c r="L34" s="11"/>
      <c r="M34" s="11">
        <v>0</v>
      </c>
      <c r="N34" s="11"/>
      <c r="O34" s="11"/>
      <c r="P34" s="11"/>
      <c r="Q34" s="11"/>
      <c r="R34" s="11"/>
      <c r="S34" s="11"/>
      <c r="T34" s="38"/>
    </row>
    <row r="35" spans="1:20" x14ac:dyDescent="0.2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</row>
    <row r="36" spans="1:20" x14ac:dyDescent="0.2">
      <c r="A36" s="38" t="s">
        <v>163</v>
      </c>
      <c r="B36" s="38" t="s">
        <v>171</v>
      </c>
      <c r="C36" s="25">
        <v>333</v>
      </c>
      <c r="D36" s="25">
        <v>0</v>
      </c>
      <c r="E36" s="38"/>
      <c r="F36" s="38"/>
      <c r="G36" s="38"/>
      <c r="H36" s="38"/>
      <c r="I36" s="38">
        <v>0</v>
      </c>
      <c r="J36" s="38"/>
      <c r="K36" s="38">
        <v>0</v>
      </c>
      <c r="L36" s="38"/>
      <c r="M36" s="38"/>
      <c r="N36" s="38"/>
      <c r="O36" s="38">
        <v>0</v>
      </c>
      <c r="P36" s="38"/>
      <c r="Q36" s="38"/>
      <c r="R36" s="38"/>
      <c r="S36" s="38"/>
      <c r="T36" s="38"/>
    </row>
    <row r="37" spans="1:20" x14ac:dyDescent="0.2">
      <c r="A37" s="38" t="s">
        <v>165</v>
      </c>
      <c r="B37" s="38" t="s">
        <v>171</v>
      </c>
      <c r="C37" s="25">
        <v>167</v>
      </c>
      <c r="D37" s="25"/>
      <c r="E37" s="11"/>
      <c r="F37" s="11"/>
      <c r="G37" s="11"/>
      <c r="H37" s="11"/>
      <c r="I37" s="38">
        <v>0</v>
      </c>
      <c r="J37" s="11"/>
      <c r="K37" s="38">
        <v>0</v>
      </c>
      <c r="L37" s="11"/>
      <c r="M37" s="11"/>
      <c r="N37" s="11"/>
      <c r="O37" s="11"/>
      <c r="P37" s="11"/>
      <c r="Q37" s="11"/>
      <c r="R37" s="11"/>
      <c r="S37" s="11"/>
      <c r="T37" s="38"/>
    </row>
    <row r="38" spans="1:20" x14ac:dyDescent="0.2">
      <c r="A38" s="38" t="s">
        <v>38</v>
      </c>
      <c r="B38" s="38" t="s">
        <v>171</v>
      </c>
      <c r="C38" s="25">
        <v>0</v>
      </c>
      <c r="D38" s="25"/>
      <c r="E38" s="38">
        <v>298</v>
      </c>
      <c r="F38" s="38"/>
      <c r="G38" s="38"/>
      <c r="H38" s="38">
        <v>0</v>
      </c>
      <c r="I38" s="38">
        <v>0</v>
      </c>
      <c r="J38" s="38">
        <v>0</v>
      </c>
      <c r="K38" s="38"/>
      <c r="L38" s="38">
        <v>0</v>
      </c>
      <c r="M38" s="38">
        <v>500</v>
      </c>
      <c r="N38" s="38">
        <v>0</v>
      </c>
      <c r="O38" s="38">
        <v>0</v>
      </c>
      <c r="P38" s="38"/>
      <c r="Q38" s="38"/>
      <c r="R38" s="38"/>
      <c r="S38" s="38"/>
      <c r="T38" s="38"/>
    </row>
    <row r="39" spans="1:20" x14ac:dyDescent="0.2">
      <c r="A39" s="38" t="s">
        <v>190</v>
      </c>
      <c r="B39" s="38" t="s">
        <v>3</v>
      </c>
      <c r="C39" s="38"/>
      <c r="D39" s="38"/>
      <c r="E39" s="38"/>
      <c r="F39" s="38">
        <v>500</v>
      </c>
      <c r="G39" s="38">
        <v>500</v>
      </c>
      <c r="H39" s="38">
        <v>500</v>
      </c>
      <c r="I39" s="38"/>
      <c r="J39" s="38"/>
      <c r="K39" s="38">
        <f>1100+150+500+118+150</f>
        <v>2018</v>
      </c>
      <c r="L39" s="38"/>
      <c r="M39" s="38"/>
      <c r="N39" s="38"/>
      <c r="O39" s="38"/>
      <c r="P39" s="38"/>
      <c r="Q39" s="38"/>
      <c r="R39" s="38"/>
      <c r="S39" s="38"/>
      <c r="T39" s="38"/>
    </row>
    <row r="40" spans="1:20" x14ac:dyDescent="0.2">
      <c r="A40" s="38" t="s">
        <v>3</v>
      </c>
      <c r="B40" s="38" t="s">
        <v>3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f>230</f>
        <v>230</v>
      </c>
      <c r="I40" s="25">
        <v>0</v>
      </c>
      <c r="J40" s="25">
        <f>126</f>
        <v>126</v>
      </c>
      <c r="K40" s="25">
        <v>0</v>
      </c>
      <c r="L40" s="25">
        <f>76</f>
        <v>76</v>
      </c>
      <c r="M40" s="25">
        <v>0</v>
      </c>
      <c r="N40" s="25">
        <f>229+1652</f>
        <v>1881</v>
      </c>
      <c r="O40" s="25">
        <f>450+79+79+79+229+308</f>
        <v>1224</v>
      </c>
      <c r="P40" s="38">
        <f>128+267+3546+273</f>
        <v>4214</v>
      </c>
      <c r="Q40" s="38"/>
      <c r="R40" s="38"/>
      <c r="S40" s="38"/>
      <c r="T40" s="38"/>
    </row>
    <row r="41" spans="1:20" x14ac:dyDescent="0.2">
      <c r="A41" s="38" t="s">
        <v>97</v>
      </c>
      <c r="B41" s="38" t="s">
        <v>97</v>
      </c>
      <c r="C41" s="25">
        <f>4000+900+300</f>
        <v>5200</v>
      </c>
      <c r="D41" s="25">
        <f>C41</f>
        <v>5200</v>
      </c>
      <c r="E41" s="25">
        <v>5200</v>
      </c>
      <c r="F41" s="25">
        <v>5200</v>
      </c>
      <c r="G41" s="25">
        <v>5200</v>
      </c>
      <c r="H41" s="25">
        <v>5200</v>
      </c>
      <c r="I41" s="25">
        <v>5200</v>
      </c>
      <c r="J41" s="25">
        <v>5200</v>
      </c>
      <c r="K41" s="25">
        <v>5200</v>
      </c>
      <c r="L41" s="25">
        <v>5200</v>
      </c>
      <c r="M41" s="25">
        <v>5200</v>
      </c>
      <c r="N41" s="25">
        <v>5200</v>
      </c>
      <c r="O41" s="25">
        <v>5200</v>
      </c>
      <c r="P41" s="25">
        <v>5200</v>
      </c>
      <c r="Q41" s="38"/>
      <c r="R41" s="38"/>
      <c r="S41" s="38"/>
      <c r="T41" s="38"/>
    </row>
    <row r="42" spans="1:20" x14ac:dyDescent="0.2">
      <c r="A42" s="38" t="s">
        <v>121</v>
      </c>
      <c r="B42" s="38" t="s">
        <v>117</v>
      </c>
      <c r="C42" s="38">
        <v>8000</v>
      </c>
      <c r="D42" s="9">
        <f>ROUND(SUM(E42:P42)/C6,0)</f>
        <v>27009</v>
      </c>
      <c r="E42" s="38">
        <f>32339-E32-E30</f>
        <v>14377</v>
      </c>
      <c r="F42" s="25">
        <f>63178-F32</f>
        <v>53278</v>
      </c>
      <c r="G42" s="25">
        <f>19200-G32</f>
        <v>10220</v>
      </c>
      <c r="H42" s="25">
        <f>31263-H32</f>
        <v>19253</v>
      </c>
      <c r="I42" s="25">
        <f>38036-I32</f>
        <v>26958</v>
      </c>
      <c r="J42" s="25">
        <f>26816-J32</f>
        <v>16916</v>
      </c>
      <c r="K42" s="25">
        <f>53154-K32</f>
        <v>43254</v>
      </c>
      <c r="L42" s="25">
        <f>44075-L32</f>
        <v>35603</v>
      </c>
      <c r="M42" s="25">
        <f>30479-M32</f>
        <v>21479</v>
      </c>
      <c r="N42" s="38">
        <f>45377-N32</f>
        <v>33733</v>
      </c>
      <c r="O42" s="38">
        <f>38961-O32</f>
        <v>29961</v>
      </c>
      <c r="P42" s="38">
        <f>28072-P32</f>
        <v>19072</v>
      </c>
      <c r="Q42" s="38"/>
      <c r="R42" s="38"/>
      <c r="S42" s="38"/>
      <c r="T42" s="38"/>
    </row>
    <row r="43" spans="1:20" x14ac:dyDescent="0.2">
      <c r="A43" s="11" t="s">
        <v>40</v>
      </c>
      <c r="B43" s="11"/>
      <c r="C43" s="9">
        <f>SUM(C12:C42)</f>
        <v>46315</v>
      </c>
      <c r="D43" s="9">
        <f>SUM(D12:D42)</f>
        <v>58117</v>
      </c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</row>
    <row r="44" spans="1:20" x14ac:dyDescent="0.2">
      <c r="A44" s="38" t="s">
        <v>123</v>
      </c>
      <c r="B44" s="38"/>
      <c r="C44" s="38">
        <f>C43-C42</f>
        <v>38315</v>
      </c>
      <c r="D44" s="38"/>
      <c r="E44" s="38"/>
      <c r="F44" s="38"/>
      <c r="G44" s="38"/>
      <c r="H44" s="38"/>
      <c r="I44" s="38"/>
      <c r="J44" s="38">
        <v>0</v>
      </c>
      <c r="K44" s="38"/>
      <c r="L44" s="38"/>
      <c r="M44" s="38"/>
      <c r="N44" s="38"/>
      <c r="O44" s="38"/>
      <c r="P44" s="38"/>
      <c r="Q44" s="38"/>
      <c r="R44" s="38"/>
      <c r="S44" s="38"/>
      <c r="T44" s="38"/>
    </row>
    <row r="45" spans="1:20" x14ac:dyDescent="0.2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</row>
    <row r="46" spans="1:20" x14ac:dyDescent="0.2">
      <c r="A46" s="38" t="s">
        <v>175</v>
      </c>
      <c r="B46" s="38"/>
      <c r="C46" s="38">
        <v>51700</v>
      </c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</row>
    <row r="47" spans="1:20" x14ac:dyDescent="0.2">
      <c r="A47" s="38" t="s">
        <v>176</v>
      </c>
      <c r="B47" s="38"/>
      <c r="C47" s="38">
        <f>C46-C44</f>
        <v>13385</v>
      </c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</row>
    <row r="48" spans="1:20" x14ac:dyDescent="0.2">
      <c r="A48" s="11" t="s">
        <v>173</v>
      </c>
      <c r="B48" s="38"/>
      <c r="C48" s="9">
        <f>C47-5000</f>
        <v>8385</v>
      </c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</row>
    <row r="49" spans="1:20" x14ac:dyDescent="0.2">
      <c r="A49" s="11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</row>
    <row r="50" spans="1:20" x14ac:dyDescent="0.2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</row>
    <row r="51" spans="1:20" x14ac:dyDescent="0.2">
      <c r="A51" s="11" t="s">
        <v>109</v>
      </c>
      <c r="B51" s="11"/>
      <c r="C51" s="9"/>
      <c r="D51" s="38">
        <f t="shared" ref="D51:O51" si="2">D32+D42</f>
        <v>37169</v>
      </c>
      <c r="E51" s="38">
        <f t="shared" si="2"/>
        <v>27410</v>
      </c>
      <c r="F51" s="38">
        <f>F32+G42</f>
        <v>20120</v>
      </c>
      <c r="G51" s="38" t="e">
        <f>G32+#REF!</f>
        <v>#REF!</v>
      </c>
      <c r="H51" s="38">
        <f t="shared" si="2"/>
        <v>31263</v>
      </c>
      <c r="I51" s="38">
        <f t="shared" si="2"/>
        <v>38036</v>
      </c>
      <c r="J51" s="38">
        <f t="shared" si="2"/>
        <v>26816</v>
      </c>
      <c r="K51" s="38">
        <f t="shared" si="2"/>
        <v>53154</v>
      </c>
      <c r="L51" s="38">
        <f t="shared" si="2"/>
        <v>44075</v>
      </c>
      <c r="M51" s="38">
        <f t="shared" si="2"/>
        <v>30479</v>
      </c>
      <c r="N51" s="38">
        <f t="shared" si="2"/>
        <v>45377</v>
      </c>
      <c r="O51" s="38">
        <f t="shared" si="2"/>
        <v>38961</v>
      </c>
      <c r="P51" s="38"/>
      <c r="Q51" s="38"/>
      <c r="R51" s="38"/>
      <c r="S51" s="38"/>
      <c r="T51" s="38"/>
    </row>
    <row r="52" spans="1:20" x14ac:dyDescent="0.2">
      <c r="A52" s="11" t="s">
        <v>110</v>
      </c>
      <c r="B52" s="38"/>
      <c r="C52" s="38"/>
      <c r="D52" s="38"/>
      <c r="E52" s="38">
        <v>0</v>
      </c>
      <c r="F52" s="38">
        <v>0</v>
      </c>
      <c r="G52" s="38"/>
      <c r="H52" s="38"/>
      <c r="I52" s="38"/>
      <c r="J52" s="14"/>
      <c r="K52" s="14"/>
      <c r="L52" s="38"/>
      <c r="M52" s="38">
        <v>0</v>
      </c>
      <c r="N52" s="38">
        <v>0</v>
      </c>
      <c r="O52" s="38"/>
      <c r="P52" s="38"/>
      <c r="Q52" s="38"/>
      <c r="R52" s="38"/>
      <c r="S52" s="38"/>
      <c r="T52" s="38"/>
    </row>
    <row r="53" spans="1:20" x14ac:dyDescent="0.2">
      <c r="A53" s="11" t="s">
        <v>166</v>
      </c>
      <c r="B53" s="11"/>
      <c r="C53" s="38"/>
      <c r="D53" s="38"/>
      <c r="E53" s="38">
        <v>0</v>
      </c>
      <c r="F53" s="38">
        <v>0</v>
      </c>
      <c r="G53" s="10"/>
      <c r="H53" s="38"/>
      <c r="I53" s="38"/>
      <c r="J53" s="38"/>
      <c r="K53" s="38"/>
      <c r="L53" s="38"/>
      <c r="M53" s="38">
        <v>0</v>
      </c>
      <c r="N53" s="38">
        <v>0</v>
      </c>
      <c r="O53" s="38"/>
      <c r="P53" s="38"/>
      <c r="Q53" s="38"/>
      <c r="R53" s="38"/>
      <c r="S53" s="38"/>
      <c r="T53" s="38"/>
    </row>
    <row r="54" spans="1:20" x14ac:dyDescent="0.2">
      <c r="A54" s="11" t="s">
        <v>167</v>
      </c>
      <c r="B54" s="11"/>
      <c r="C54" s="38"/>
      <c r="D54" s="38"/>
      <c r="E54" s="38">
        <v>0</v>
      </c>
      <c r="F54" s="38">
        <v>0</v>
      </c>
      <c r="G54" s="10"/>
      <c r="H54" s="38">
        <v>0</v>
      </c>
      <c r="I54" s="38"/>
      <c r="J54" s="38"/>
      <c r="K54" s="38"/>
      <c r="L54" s="38"/>
      <c r="M54" s="38">
        <v>0</v>
      </c>
      <c r="N54" s="38"/>
      <c r="O54" s="38"/>
      <c r="P54" s="38"/>
      <c r="Q54" s="38"/>
      <c r="R54" s="38"/>
      <c r="S54" s="38"/>
      <c r="T54" s="38"/>
    </row>
    <row r="55" spans="1:20" x14ac:dyDescent="0.2">
      <c r="A55" s="11" t="s">
        <v>26</v>
      </c>
      <c r="B55" s="11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>
        <f>SUM(M52:M54)</f>
        <v>0</v>
      </c>
      <c r="N55" s="38">
        <f>SUM(N52:N54)</f>
        <v>0</v>
      </c>
      <c r="O55" s="38"/>
      <c r="P55" s="38"/>
      <c r="Q55" s="38"/>
      <c r="R55" s="38"/>
      <c r="S55" s="38"/>
      <c r="T55" s="38"/>
    </row>
    <row r="56" spans="1:20" x14ac:dyDescent="0.2">
      <c r="A56" s="11"/>
      <c r="B56" s="11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</row>
    <row r="57" spans="1:20" x14ac:dyDescent="0.2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 t="s">
        <v>46</v>
      </c>
      <c r="M57" s="38"/>
      <c r="N57" s="38"/>
      <c r="O57" s="38"/>
      <c r="P57" s="38"/>
      <c r="Q57" s="38"/>
      <c r="R57" s="38"/>
      <c r="S57" s="38"/>
      <c r="T57" s="38"/>
    </row>
    <row r="58" spans="1:20" x14ac:dyDescent="0.2">
      <c r="A58" s="11" t="s">
        <v>124</v>
      </c>
      <c r="B58" s="38">
        <v>1400</v>
      </c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</row>
    <row r="59" spans="1:20" x14ac:dyDescent="0.2">
      <c r="A59" s="11" t="s">
        <v>148</v>
      </c>
      <c r="B59" s="38">
        <v>1000</v>
      </c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</row>
    <row r="60" spans="1:20" x14ac:dyDescent="0.2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</row>
    <row r="61" spans="1:20" x14ac:dyDescent="0.2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</row>
    <row r="62" spans="1:20" x14ac:dyDescent="0.2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</row>
    <row r="63" spans="1:20" x14ac:dyDescent="0.2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</row>
    <row r="64" spans="1:20" x14ac:dyDescent="0.2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</row>
    <row r="65" spans="1:20" x14ac:dyDescent="0.2">
      <c r="A65" s="11" t="s">
        <v>119</v>
      </c>
      <c r="B65" s="38" t="s">
        <v>131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</row>
    <row r="66" spans="1:20" x14ac:dyDescent="0.2">
      <c r="A66" s="38" t="s">
        <v>113</v>
      </c>
      <c r="B66" s="38">
        <f>SUM(C12:C22)</f>
        <v>15179</v>
      </c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</row>
    <row r="67" spans="1:20" x14ac:dyDescent="0.2">
      <c r="A67" s="38" t="s">
        <v>120</v>
      </c>
      <c r="B67" s="38">
        <f>SUM(C23:C26)</f>
        <v>1584</v>
      </c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</row>
    <row r="68" spans="1:20" x14ac:dyDescent="0.2">
      <c r="A68" s="38" t="s">
        <v>114</v>
      </c>
      <c r="B68" s="38">
        <f>SUM(C27:C30)</f>
        <v>5952</v>
      </c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</row>
    <row r="69" spans="1:20" x14ac:dyDescent="0.2">
      <c r="A69" s="38" t="s">
        <v>27</v>
      </c>
      <c r="B69" s="38">
        <f>C32</f>
        <v>9900</v>
      </c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</row>
    <row r="70" spans="1:20" x14ac:dyDescent="0.2">
      <c r="A70" s="38" t="s">
        <v>127</v>
      </c>
      <c r="B70" s="38">
        <f>C41</f>
        <v>5200</v>
      </c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</row>
    <row r="71" spans="1:20" x14ac:dyDescent="0.2">
      <c r="A71" s="38" t="s">
        <v>122</v>
      </c>
      <c r="B71" s="38">
        <f>C42</f>
        <v>8000</v>
      </c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</row>
    <row r="72" spans="1:20" x14ac:dyDescent="0.2">
      <c r="A72" s="38" t="s">
        <v>44</v>
      </c>
      <c r="B72" s="38">
        <f>SUM(B66:B71)</f>
        <v>45815</v>
      </c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</row>
    <row r="73" spans="1:20" x14ac:dyDescent="0.2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</row>
    <row r="74" spans="1:20" x14ac:dyDescent="0.2">
      <c r="A74" s="38" t="s">
        <v>126</v>
      </c>
      <c r="B74" s="9">
        <v>49400</v>
      </c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</row>
    <row r="75" spans="1:20" x14ac:dyDescent="0.2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</row>
    <row r="76" spans="1:20" x14ac:dyDescent="0.2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</row>
    <row r="77" spans="1:20" x14ac:dyDescent="0.2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</row>
    <row r="78" spans="1:20" x14ac:dyDescent="0.2">
      <c r="A78" s="38" t="s">
        <v>128</v>
      </c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</row>
    <row r="79" spans="1:20" x14ac:dyDescent="0.2">
      <c r="A79" s="38" t="s">
        <v>129</v>
      </c>
      <c r="B79" s="38">
        <f>45500</f>
        <v>45500</v>
      </c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</row>
    <row r="80" spans="1:20" x14ac:dyDescent="0.2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</row>
    <row r="81" spans="1:20" x14ac:dyDescent="0.2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</row>
    <row r="82" spans="1:20" x14ac:dyDescent="0.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</row>
    <row r="83" spans="1:20" x14ac:dyDescent="0.2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</row>
    <row r="84" spans="1:20" x14ac:dyDescent="0.2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</row>
    <row r="85" spans="1:20" x14ac:dyDescent="0.2">
      <c r="A85" s="38"/>
      <c r="B85" s="38"/>
      <c r="C85" s="38" t="s">
        <v>92</v>
      </c>
      <c r="D85" s="38" t="s">
        <v>93</v>
      </c>
      <c r="E85" s="38"/>
      <c r="F85" s="38"/>
      <c r="G85" s="14">
        <v>3000</v>
      </c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</row>
    <row r="86" spans="1:20" x14ac:dyDescent="0.2">
      <c r="A86" s="38" t="s">
        <v>90</v>
      </c>
      <c r="B86" s="38"/>
      <c r="C86" s="38">
        <v>1248</v>
      </c>
      <c r="D86" s="38">
        <f>C86/12</f>
        <v>104</v>
      </c>
      <c r="E86" s="38"/>
      <c r="F86" s="38"/>
      <c r="G86" s="34">
        <v>252</v>
      </c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</row>
    <row r="87" spans="1:20" x14ac:dyDescent="0.2">
      <c r="A87" s="38" t="s">
        <v>91</v>
      </c>
      <c r="B87" s="38"/>
      <c r="C87" s="38">
        <v>1332</v>
      </c>
      <c r="D87" s="38">
        <f>C87/12</f>
        <v>111</v>
      </c>
      <c r="E87" s="38"/>
      <c r="F87" s="38"/>
      <c r="G87" s="34">
        <v>880</v>
      </c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</row>
    <row r="88" spans="1:20" x14ac:dyDescent="0.2">
      <c r="A88" s="11" t="s">
        <v>94</v>
      </c>
      <c r="B88" s="11"/>
      <c r="C88" s="11">
        <f>C86+C87</f>
        <v>2580</v>
      </c>
      <c r="D88" s="11">
        <f>D86+D87</f>
        <v>215</v>
      </c>
      <c r="E88" s="11"/>
      <c r="F88" s="11"/>
      <c r="G88" s="34">
        <v>1200</v>
      </c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38"/>
    </row>
    <row r="89" spans="1:20" x14ac:dyDescent="0.2">
      <c r="A89" s="38"/>
      <c r="B89" s="38"/>
      <c r="C89" s="38"/>
      <c r="D89" s="38"/>
      <c r="E89" s="38"/>
      <c r="F89" s="38"/>
      <c r="G89" s="38">
        <f>G85+G86+G87+G88</f>
        <v>5332</v>
      </c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</row>
    <row r="90" spans="1:20" x14ac:dyDescent="0.2">
      <c r="A90" s="43"/>
      <c r="B90" s="43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</row>
    <row r="91" spans="1:20" x14ac:dyDescent="0.2">
      <c r="A91" s="38"/>
      <c r="B91" s="38"/>
      <c r="C91" s="38"/>
      <c r="D91" s="38"/>
      <c r="E91" s="38"/>
      <c r="F91" s="38"/>
      <c r="G91" s="38"/>
      <c r="H91" s="38"/>
      <c r="I91" s="38"/>
      <c r="J91" s="9"/>
      <c r="K91" s="38"/>
      <c r="L91" s="38"/>
      <c r="M91" s="38"/>
      <c r="N91" s="38"/>
      <c r="O91" s="38"/>
      <c r="P91" s="38"/>
      <c r="Q91" s="38"/>
      <c r="R91" s="38"/>
      <c r="S91" s="38"/>
      <c r="T91" s="38"/>
    </row>
    <row r="92" spans="1:20" x14ac:dyDescent="0.2">
      <c r="A92" s="38"/>
      <c r="B92" s="38"/>
      <c r="C92" s="38" t="s">
        <v>92</v>
      </c>
      <c r="D92" s="38" t="s">
        <v>93</v>
      </c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</row>
    <row r="93" spans="1:20" x14ac:dyDescent="0.2">
      <c r="A93" s="38" t="s">
        <v>95</v>
      </c>
      <c r="B93" s="38"/>
      <c r="C93" s="38">
        <f>D93*12</f>
        <v>4140</v>
      </c>
      <c r="D93" s="38">
        <v>345</v>
      </c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</row>
    <row r="94" spans="1:20" x14ac:dyDescent="0.2">
      <c r="A94" s="38" t="s">
        <v>96</v>
      </c>
      <c r="B94" s="38"/>
      <c r="C94" s="38">
        <f>D94*12</f>
        <v>3228</v>
      </c>
      <c r="D94" s="38">
        <v>269</v>
      </c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</row>
    <row r="95" spans="1:20" x14ac:dyDescent="0.2">
      <c r="A95" s="11" t="s">
        <v>94</v>
      </c>
      <c r="B95" s="11"/>
      <c r="C95" s="11">
        <f>C93+C94</f>
        <v>7368</v>
      </c>
      <c r="D95" s="11">
        <f>D93+D94</f>
        <v>614</v>
      </c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38"/>
    </row>
    <row r="96" spans="1:20" x14ac:dyDescent="0.2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</row>
    <row r="97" spans="1:20" x14ac:dyDescent="0.2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</row>
    <row r="98" spans="1:20" x14ac:dyDescent="0.2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</row>
    <row r="99" spans="1:20" x14ac:dyDescent="0.2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</row>
    <row r="100" spans="1:20" x14ac:dyDescent="0.2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</row>
    <row r="101" spans="1:20" x14ac:dyDescent="0.2">
      <c r="A101" s="38" t="s">
        <v>99</v>
      </c>
      <c r="B101" s="38"/>
      <c r="C101" s="38"/>
      <c r="D101" s="38" t="s">
        <v>132</v>
      </c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</row>
    <row r="102" spans="1:20" x14ac:dyDescent="0.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</row>
    <row r="103" spans="1:20" x14ac:dyDescent="0.2">
      <c r="A103" s="38" t="s">
        <v>19</v>
      </c>
      <c r="B103" s="38">
        <f>C27</f>
        <v>2900</v>
      </c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</row>
    <row r="104" spans="1:20" x14ac:dyDescent="0.2">
      <c r="A104" s="38" t="s">
        <v>31</v>
      </c>
      <c r="B104" s="38">
        <f>C28</f>
        <v>252</v>
      </c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</row>
    <row r="105" spans="1:20" x14ac:dyDescent="0.2">
      <c r="A105" s="38" t="s">
        <v>35</v>
      </c>
      <c r="B105" s="38">
        <f>C29</f>
        <v>900</v>
      </c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</row>
    <row r="106" spans="1:20" x14ac:dyDescent="0.2">
      <c r="A106" s="38" t="s">
        <v>54</v>
      </c>
      <c r="B106" s="38">
        <f>C30</f>
        <v>1900</v>
      </c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</row>
    <row r="107" spans="1:20" x14ac:dyDescent="0.2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</row>
    <row r="108" spans="1:20" x14ac:dyDescent="0.2">
      <c r="A108" s="38" t="s">
        <v>26</v>
      </c>
      <c r="B108" s="38">
        <f>SUM(B103:B106)</f>
        <v>5952</v>
      </c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</row>
    <row r="109" spans="1:20" x14ac:dyDescent="0.2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</row>
    <row r="110" spans="1:20" x14ac:dyDescent="0.2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</row>
    <row r="111" spans="1:20" x14ac:dyDescent="0.2">
      <c r="A111" s="38" t="s">
        <v>107</v>
      </c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</row>
    <row r="112" spans="1:20" x14ac:dyDescent="0.2">
      <c r="A112" s="38" t="s">
        <v>108</v>
      </c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</row>
    <row r="113" spans="1:20" x14ac:dyDescent="0.2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</row>
    <row r="114" spans="1:20" x14ac:dyDescent="0.2">
      <c r="A114" s="11"/>
      <c r="B114" s="11" t="s">
        <v>134</v>
      </c>
      <c r="C114" s="11" t="s">
        <v>135</v>
      </c>
      <c r="D114" s="11" t="s">
        <v>136</v>
      </c>
      <c r="E114" s="11" t="s">
        <v>137</v>
      </c>
      <c r="F114" s="11" t="s">
        <v>138</v>
      </c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38"/>
    </row>
    <row r="115" spans="1:20" x14ac:dyDescent="0.2">
      <c r="A115" s="38" t="s">
        <v>133</v>
      </c>
      <c r="B115" s="38" t="s">
        <v>149</v>
      </c>
      <c r="C115" s="38" t="s">
        <v>140</v>
      </c>
      <c r="D115" s="38" t="s">
        <v>149</v>
      </c>
      <c r="E115" s="38" t="s">
        <v>140</v>
      </c>
      <c r="F115" s="38" t="s">
        <v>140</v>
      </c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</row>
    <row r="116" spans="1:20" x14ac:dyDescent="0.2">
      <c r="A116" s="38" t="s">
        <v>139</v>
      </c>
      <c r="B116" s="38" t="s">
        <v>140</v>
      </c>
      <c r="C116" s="38" t="s">
        <v>149</v>
      </c>
      <c r="D116" s="38" t="s">
        <v>140</v>
      </c>
      <c r="E116" s="38" t="s">
        <v>149</v>
      </c>
      <c r="F116" s="38" t="s">
        <v>149</v>
      </c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</row>
    <row r="117" spans="1:20" x14ac:dyDescent="0.2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</row>
    <row r="118" spans="1:20" x14ac:dyDescent="0.2">
      <c r="A118" s="38" t="s">
        <v>144</v>
      </c>
      <c r="B118" s="38">
        <v>700</v>
      </c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</row>
    <row r="119" spans="1:20" x14ac:dyDescent="0.2">
      <c r="A119" s="38" t="s">
        <v>141</v>
      </c>
      <c r="B119" s="38">
        <v>-1000</v>
      </c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</row>
    <row r="120" spans="1:20" x14ac:dyDescent="0.2">
      <c r="A120" s="38" t="s">
        <v>142</v>
      </c>
      <c r="B120" s="38">
        <v>-406</v>
      </c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</row>
    <row r="121" spans="1:20" x14ac:dyDescent="0.2">
      <c r="A121" s="38" t="s">
        <v>143</v>
      </c>
      <c r="B121" s="38">
        <v>-150</v>
      </c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</row>
    <row r="122" spans="1:20" x14ac:dyDescent="0.2">
      <c r="A122" s="38" t="s">
        <v>145</v>
      </c>
      <c r="B122" s="38">
        <v>-550</v>
      </c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</row>
    <row r="123" spans="1:20" x14ac:dyDescent="0.2">
      <c r="A123" s="11" t="s">
        <v>146</v>
      </c>
      <c r="B123" s="11">
        <f>SUM(B118:B122)</f>
        <v>-1406</v>
      </c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38"/>
    </row>
    <row r="124" spans="1:20" x14ac:dyDescent="0.2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</row>
    <row r="125" spans="1:20" x14ac:dyDescent="0.2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</row>
    <row r="126" spans="1:20" x14ac:dyDescent="0.2">
      <c r="A126" s="38" t="s">
        <v>104</v>
      </c>
      <c r="B126" s="38">
        <v>5</v>
      </c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</row>
    <row r="127" spans="1:20" x14ac:dyDescent="0.2">
      <c r="A127" s="38" t="s">
        <v>103</v>
      </c>
      <c r="B127" s="38">
        <v>0.06</v>
      </c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</row>
    <row r="128" spans="1:20" x14ac:dyDescent="0.2">
      <c r="A128" s="38" t="s">
        <v>100</v>
      </c>
      <c r="B128" s="38">
        <f>50000</f>
        <v>50000</v>
      </c>
      <c r="C128" s="38" t="s">
        <v>102</v>
      </c>
      <c r="D128" s="38" t="s">
        <v>105</v>
      </c>
      <c r="E128" s="38" t="s">
        <v>103</v>
      </c>
      <c r="F128" s="38" t="s">
        <v>44</v>
      </c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</row>
    <row r="129" spans="1:20" x14ac:dyDescent="0.2">
      <c r="A129" s="38" t="s">
        <v>101</v>
      </c>
      <c r="B129" s="38"/>
      <c r="C129" s="38">
        <v>50000</v>
      </c>
      <c r="D129" s="38">
        <f>C129/B126/12</f>
        <v>833.33333333333337</v>
      </c>
      <c r="E129" s="38">
        <f>((C129*B127)/12)*0.7</f>
        <v>175</v>
      </c>
      <c r="F129" s="38">
        <f>D129+E129</f>
        <v>1008.3333333333334</v>
      </c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</row>
    <row r="130" spans="1:20" x14ac:dyDescent="0.2">
      <c r="A130" s="38" t="s">
        <v>106</v>
      </c>
      <c r="B130" s="38"/>
      <c r="C130" s="38">
        <v>100000</v>
      </c>
      <c r="D130" s="38">
        <f>C130/B126/12</f>
        <v>1666.6666666666667</v>
      </c>
      <c r="E130" s="38">
        <f>((C130*B127)/12)*0.7</f>
        <v>350</v>
      </c>
      <c r="F130" s="38">
        <f>D130+E130</f>
        <v>2016.6666666666667</v>
      </c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</row>
    <row r="131" spans="1:20" x14ac:dyDescent="0.2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</row>
    <row r="132" spans="1:20" x14ac:dyDescent="0.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</row>
    <row r="133" spans="1:20" x14ac:dyDescent="0.2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</row>
    <row r="134" spans="1:20" x14ac:dyDescent="0.2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</row>
    <row r="135" spans="1:20" x14ac:dyDescent="0.2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</row>
    <row r="136" spans="1:20" x14ac:dyDescent="0.2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</row>
    <row r="137" spans="1:20" x14ac:dyDescent="0.2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</row>
    <row r="138" spans="1:20" x14ac:dyDescent="0.2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</row>
    <row r="139" spans="1:20" x14ac:dyDescent="0.2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</row>
    <row r="140" spans="1:20" x14ac:dyDescent="0.2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</row>
    <row r="141" spans="1:20" x14ac:dyDescent="0.2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</row>
  </sheetData>
  <phoneticPr fontId="24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3"/>
  <sheetViews>
    <sheetView workbookViewId="0">
      <selection activeCell="P14" sqref="P14"/>
    </sheetView>
  </sheetViews>
  <sheetFormatPr defaultColWidth="10" defaultRowHeight="12.75" x14ac:dyDescent="0.2"/>
  <cols>
    <col min="1" max="1" width="24.140625" style="2" customWidth="1"/>
    <col min="2" max="16384" width="10" style="2"/>
  </cols>
  <sheetData>
    <row r="1" spans="1:18" x14ac:dyDescent="0.2">
      <c r="A1" s="2" t="s">
        <v>46</v>
      </c>
      <c r="B1" s="2">
        <f>439/12</f>
        <v>36.583333333333336</v>
      </c>
      <c r="G1" s="2" t="s">
        <v>161</v>
      </c>
      <c r="H1" s="2">
        <v>6900</v>
      </c>
    </row>
    <row r="2" spans="1:18" x14ac:dyDescent="0.2">
      <c r="G2" s="2" t="s">
        <v>162</v>
      </c>
      <c r="H2" s="2">
        <v>5100</v>
      </c>
    </row>
    <row r="3" spans="1:18" x14ac:dyDescent="0.2">
      <c r="A3" s="2" t="s">
        <v>53</v>
      </c>
      <c r="D3" s="2">
        <f>(5967+4873)/12</f>
        <v>903.33333333333337</v>
      </c>
      <c r="E3" s="2" t="s">
        <v>46</v>
      </c>
      <c r="F3" s="23"/>
      <c r="I3" s="23"/>
      <c r="N3" s="2" t="s">
        <v>46</v>
      </c>
      <c r="O3" s="2" t="s">
        <v>46</v>
      </c>
    </row>
    <row r="4" spans="1:18" x14ac:dyDescent="0.2">
      <c r="C4" s="2">
        <f>2496/12</f>
        <v>208</v>
      </c>
      <c r="E4" s="19" t="s">
        <v>46</v>
      </c>
      <c r="G4" s="2" t="s">
        <v>46</v>
      </c>
      <c r="L4" s="17" t="s">
        <v>46</v>
      </c>
      <c r="M4" s="2">
        <f>24000+71000</f>
        <v>95000</v>
      </c>
      <c r="N4" s="2" t="s">
        <v>46</v>
      </c>
      <c r="O4" s="2" t="s">
        <v>46</v>
      </c>
    </row>
    <row r="5" spans="1:18" x14ac:dyDescent="0.2">
      <c r="A5" s="2" t="s">
        <v>51</v>
      </c>
      <c r="E5" s="8"/>
      <c r="L5" s="2" t="s">
        <v>46</v>
      </c>
      <c r="M5" s="2" t="s">
        <v>46</v>
      </c>
      <c r="N5" s="2" t="s">
        <v>46</v>
      </c>
      <c r="O5" s="2" t="s">
        <v>46</v>
      </c>
      <c r="P5" s="2" t="s">
        <v>46</v>
      </c>
    </row>
    <row r="6" spans="1:18" x14ac:dyDescent="0.2">
      <c r="A6" s="2" t="s">
        <v>18</v>
      </c>
      <c r="C6" s="2">
        <v>12</v>
      </c>
      <c r="F6" s="1"/>
      <c r="G6" s="1"/>
      <c r="I6" s="1"/>
      <c r="J6" s="1"/>
      <c r="K6" s="1"/>
      <c r="L6" s="1"/>
      <c r="M6" s="1"/>
      <c r="N6" s="1"/>
      <c r="O6" s="1"/>
    </row>
    <row r="7" spans="1:18" x14ac:dyDescent="0.2">
      <c r="A7" s="2" t="s">
        <v>79</v>
      </c>
      <c r="F7" s="1"/>
      <c r="G7" s="1"/>
      <c r="I7" s="1"/>
      <c r="J7" s="1"/>
      <c r="K7" s="1"/>
      <c r="L7" s="1"/>
      <c r="M7" s="1" t="s">
        <v>46</v>
      </c>
      <c r="N7" s="1" t="s">
        <v>179</v>
      </c>
      <c r="O7" s="1"/>
    </row>
    <row r="8" spans="1:18" x14ac:dyDescent="0.2">
      <c r="A8" s="2" t="s">
        <v>29</v>
      </c>
      <c r="B8" s="2">
        <f>(2081)/12</f>
        <v>173.41666666666666</v>
      </c>
      <c r="D8" s="2">
        <f>ROUND(SUM(E8:P8)/C6,0)</f>
        <v>52847</v>
      </c>
      <c r="E8" s="2">
        <f>30070+20570+2200</f>
        <v>52840</v>
      </c>
      <c r="F8" s="2">
        <f>27947+20570+2200</f>
        <v>50717</v>
      </c>
      <c r="G8" s="2">
        <f>27947+20570+2200</f>
        <v>50717</v>
      </c>
      <c r="H8" s="2">
        <f>36321+21129+2200</f>
        <v>59650</v>
      </c>
      <c r="I8" s="2">
        <f>27942+20262+2200</f>
        <v>50404</v>
      </c>
      <c r="J8" s="2">
        <f>32450+24827+2200</f>
        <v>59477</v>
      </c>
      <c r="K8" s="2">
        <f>28614+21379+2200</f>
        <v>52193</v>
      </c>
      <c r="L8" s="2">
        <f>28614+21129+2200</f>
        <v>51943</v>
      </c>
      <c r="M8" s="2">
        <f>29367+21129+2200</f>
        <v>52696</v>
      </c>
      <c r="N8" s="2">
        <f>28614+21129+2200</f>
        <v>51943</v>
      </c>
      <c r="O8" s="2">
        <f>28614+21129+1050</f>
        <v>50793</v>
      </c>
      <c r="P8" s="2">
        <f>28614+21129+1050</f>
        <v>50793</v>
      </c>
    </row>
    <row r="9" spans="1:18" x14ac:dyDescent="0.2">
      <c r="A9" s="2" t="s">
        <v>32</v>
      </c>
      <c r="D9" s="33">
        <f>ROUND(SUM(E9:P9)/C6,0)</f>
        <v>-2330</v>
      </c>
      <c r="E9" s="2">
        <f>E8-E11</f>
        <v>12272</v>
      </c>
      <c r="F9" s="2">
        <f>F8-F11</f>
        <v>-170</v>
      </c>
      <c r="G9" s="2">
        <f>G8-G11</f>
        <v>-3621</v>
      </c>
      <c r="H9" s="2">
        <f t="shared" ref="H9:P9" si="0">H8-H11</f>
        <v>13224</v>
      </c>
      <c r="I9" s="2">
        <f t="shared" si="0"/>
        <v>-15081</v>
      </c>
      <c r="J9" s="2">
        <f t="shared" si="0"/>
        <v>9082</v>
      </c>
      <c r="K9" s="2">
        <f t="shared" si="0"/>
        <v>-9158</v>
      </c>
      <c r="L9" s="2">
        <f t="shared" si="0"/>
        <v>-47101</v>
      </c>
      <c r="M9" s="2">
        <f t="shared" si="0"/>
        <v>14826</v>
      </c>
      <c r="N9" s="2">
        <f t="shared" si="0"/>
        <v>499</v>
      </c>
      <c r="O9" s="2">
        <f t="shared" si="0"/>
        <v>944</v>
      </c>
      <c r="P9" s="2">
        <f t="shared" si="0"/>
        <v>-3670</v>
      </c>
    </row>
    <row r="10" spans="1:18" x14ac:dyDescent="0.2">
      <c r="A10" s="3" t="s">
        <v>0</v>
      </c>
      <c r="B10" s="3"/>
      <c r="C10" s="4" t="s">
        <v>1</v>
      </c>
      <c r="D10" s="7" t="s">
        <v>5</v>
      </c>
      <c r="E10" s="5" t="s">
        <v>6</v>
      </c>
      <c r="F10" s="5" t="s">
        <v>7</v>
      </c>
      <c r="G10" s="4" t="s">
        <v>8</v>
      </c>
      <c r="H10" s="5" t="s">
        <v>9</v>
      </c>
      <c r="I10" s="5" t="s">
        <v>10</v>
      </c>
      <c r="J10" s="5" t="s">
        <v>11</v>
      </c>
      <c r="K10" s="5" t="s">
        <v>12</v>
      </c>
      <c r="L10" s="5" t="s">
        <v>13</v>
      </c>
      <c r="M10" s="5" t="s">
        <v>14</v>
      </c>
      <c r="N10" s="5" t="s">
        <v>15</v>
      </c>
      <c r="O10" s="5" t="s">
        <v>16</v>
      </c>
      <c r="P10" s="5" t="s">
        <v>17</v>
      </c>
      <c r="Q10" s="3"/>
      <c r="R10" s="3"/>
    </row>
    <row r="11" spans="1:18" x14ac:dyDescent="0.2">
      <c r="A11" s="3" t="s">
        <v>26</v>
      </c>
      <c r="C11" s="4"/>
      <c r="D11" s="2">
        <f>ROUND(SUM(E11:P11)/C6,0)</f>
        <v>55177</v>
      </c>
      <c r="E11" s="4">
        <f t="shared" ref="E11:P11" si="1">SUM(E12:E45)</f>
        <v>40568</v>
      </c>
      <c r="F11" s="4">
        <f t="shared" si="1"/>
        <v>50887</v>
      </c>
      <c r="G11" s="4">
        <f t="shared" si="1"/>
        <v>54338</v>
      </c>
      <c r="H11" s="4">
        <f t="shared" si="1"/>
        <v>46426</v>
      </c>
      <c r="I11" s="4">
        <f t="shared" si="1"/>
        <v>65485</v>
      </c>
      <c r="J11" s="4">
        <f t="shared" si="1"/>
        <v>50395</v>
      </c>
      <c r="K11" s="4">
        <f t="shared" si="1"/>
        <v>61351</v>
      </c>
      <c r="L11" s="4">
        <f t="shared" si="1"/>
        <v>99044</v>
      </c>
      <c r="M11" s="4">
        <f t="shared" si="1"/>
        <v>37870</v>
      </c>
      <c r="N11" s="4">
        <f t="shared" si="1"/>
        <v>51444</v>
      </c>
      <c r="O11" s="4">
        <f t="shared" si="1"/>
        <v>49849</v>
      </c>
      <c r="P11" s="4">
        <f t="shared" si="1"/>
        <v>54463</v>
      </c>
      <c r="Q11" s="3"/>
      <c r="R11" s="3"/>
    </row>
    <row r="12" spans="1:18" x14ac:dyDescent="0.2">
      <c r="A12" s="2" t="s">
        <v>28</v>
      </c>
      <c r="B12" s="2" t="s">
        <v>113</v>
      </c>
      <c r="C12" s="34">
        <v>10300</v>
      </c>
      <c r="D12" s="25">
        <f>ROUND(SUM(E12:P12)/C6,0)</f>
        <v>10296</v>
      </c>
      <c r="E12" s="2">
        <v>10376</v>
      </c>
      <c r="F12" s="2">
        <v>10367</v>
      </c>
      <c r="G12" s="2">
        <v>10359</v>
      </c>
      <c r="H12" s="2">
        <v>10038</v>
      </c>
      <c r="I12" s="2">
        <v>10029</v>
      </c>
      <c r="J12" s="2">
        <v>10021</v>
      </c>
      <c r="K12" s="2">
        <v>10475</v>
      </c>
      <c r="L12" s="2">
        <v>10472</v>
      </c>
      <c r="M12" s="2">
        <v>10562</v>
      </c>
      <c r="N12" s="2">
        <v>10723</v>
      </c>
      <c r="O12" s="2">
        <v>10413</v>
      </c>
      <c r="P12" s="2">
        <v>9711</v>
      </c>
    </row>
    <row r="13" spans="1:18" x14ac:dyDescent="0.2">
      <c r="A13" s="2" t="s">
        <v>168</v>
      </c>
      <c r="B13" s="2" t="s">
        <v>113</v>
      </c>
      <c r="C13" s="34">
        <v>2100</v>
      </c>
      <c r="D13" s="25">
        <f>ROUND(SUM(E13:P13)/C6,0)</f>
        <v>2073</v>
      </c>
      <c r="E13" s="2">
        <f>1037+2997</f>
        <v>4034</v>
      </c>
      <c r="G13" s="2">
        <f>1139+3591</f>
        <v>4730</v>
      </c>
      <c r="I13" s="2">
        <f>986+3411</f>
        <v>4397</v>
      </c>
      <c r="K13" s="2">
        <f>624+2329</f>
        <v>2953</v>
      </c>
      <c r="L13" s="2">
        <v>748</v>
      </c>
      <c r="M13" s="2">
        <v>4242</v>
      </c>
      <c r="O13" s="2">
        <f>1879+785</f>
        <v>2664</v>
      </c>
      <c r="P13" s="2">
        <f>1113</f>
        <v>1113</v>
      </c>
    </row>
    <row r="14" spans="1:18" x14ac:dyDescent="0.2">
      <c r="A14" s="2" t="s">
        <v>169</v>
      </c>
      <c r="B14" s="2" t="s">
        <v>113</v>
      </c>
      <c r="C14" s="14">
        <v>500</v>
      </c>
      <c r="D14" s="25">
        <f>ROUND(SUM(E14:P14)/C6,0)</f>
        <v>1107</v>
      </c>
      <c r="E14" s="2">
        <f>212</f>
        <v>212</v>
      </c>
      <c r="F14" s="2">
        <v>153</v>
      </c>
      <c r="G14" s="2">
        <f>4811+446</f>
        <v>5257</v>
      </c>
      <c r="H14" s="2">
        <v>1811</v>
      </c>
      <c r="I14" s="2">
        <f>936+425</f>
        <v>1361</v>
      </c>
      <c r="J14" s="2">
        <f>47+781</f>
        <v>828</v>
      </c>
      <c r="K14" s="2">
        <f>544+117</f>
        <v>661</v>
      </c>
      <c r="L14" s="2">
        <v>363</v>
      </c>
      <c r="M14" s="2">
        <f>426+71</f>
        <v>497</v>
      </c>
      <c r="N14" s="2">
        <f>679-N15</f>
        <v>584</v>
      </c>
      <c r="O14" s="2">
        <f>1032-O15</f>
        <v>781</v>
      </c>
      <c r="P14" s="2">
        <f>1160-388</f>
        <v>772</v>
      </c>
    </row>
    <row r="15" spans="1:18" x14ac:dyDescent="0.2">
      <c r="A15" s="2" t="s">
        <v>78</v>
      </c>
      <c r="B15" s="2" t="s">
        <v>113</v>
      </c>
      <c r="C15" s="34">
        <v>349</v>
      </c>
      <c r="D15" s="25">
        <f>ROUND(SUM(E15:P15)/C6,0)</f>
        <v>333</v>
      </c>
      <c r="F15" s="2">
        <v>1006</v>
      </c>
      <c r="I15" s="2">
        <v>1006</v>
      </c>
      <c r="L15" s="2">
        <v>1006</v>
      </c>
      <c r="M15" s="2">
        <v>239</v>
      </c>
      <c r="N15" s="2">
        <v>95</v>
      </c>
      <c r="O15" s="2">
        <v>251</v>
      </c>
      <c r="P15" s="2">
        <v>388</v>
      </c>
    </row>
    <row r="16" spans="1:18" x14ac:dyDescent="0.2">
      <c r="A16" s="2" t="s">
        <v>70</v>
      </c>
      <c r="B16" s="2" t="s">
        <v>113</v>
      </c>
      <c r="C16" s="34">
        <v>130</v>
      </c>
      <c r="D16" s="25">
        <f>ROUND(SUM(E16:P16)/C6,0)</f>
        <v>132</v>
      </c>
      <c r="E16" s="2">
        <f>149</f>
        <v>149</v>
      </c>
      <c r="F16" s="2">
        <v>130</v>
      </c>
      <c r="G16" s="2">
        <f>99</f>
        <v>99</v>
      </c>
      <c r="H16" s="2">
        <f>131</f>
        <v>131</v>
      </c>
      <c r="I16" s="2">
        <f>127</f>
        <v>127</v>
      </c>
      <c r="J16" s="2">
        <v>117</v>
      </c>
      <c r="K16" s="2">
        <v>137</v>
      </c>
      <c r="L16" s="2">
        <v>130</v>
      </c>
      <c r="M16" s="2">
        <v>126</v>
      </c>
      <c r="N16" s="2">
        <v>148</v>
      </c>
      <c r="O16" s="2">
        <v>135</v>
      </c>
      <c r="P16" s="2">
        <v>152</v>
      </c>
    </row>
    <row r="17" spans="1:19" x14ac:dyDescent="0.2">
      <c r="A17" s="2" t="s">
        <v>36</v>
      </c>
      <c r="B17" s="2" t="s">
        <v>113</v>
      </c>
      <c r="C17" s="34">
        <v>562</v>
      </c>
      <c r="D17" s="25">
        <f>ROUND(SUM(E17:P17)/C6,0)</f>
        <v>495</v>
      </c>
      <c r="G17" s="2">
        <v>1392</v>
      </c>
      <c r="J17" s="2">
        <v>1688</v>
      </c>
      <c r="M17" s="2">
        <v>1453</v>
      </c>
      <c r="P17" s="2">
        <v>1408</v>
      </c>
    </row>
    <row r="18" spans="1:19" x14ac:dyDescent="0.2">
      <c r="A18" s="2" t="s">
        <v>170</v>
      </c>
      <c r="B18" s="2" t="s">
        <v>113</v>
      </c>
      <c r="C18" s="34">
        <v>441</v>
      </c>
      <c r="D18" s="25">
        <f>ROUND(SUM(E18:P18)/C6,0)</f>
        <v>424</v>
      </c>
      <c r="E18" s="2">
        <v>233</v>
      </c>
      <c r="F18" s="2">
        <f>243</f>
        <v>243</v>
      </c>
      <c r="G18" s="2">
        <v>834</v>
      </c>
      <c r="H18" s="2">
        <v>401</v>
      </c>
      <c r="I18" s="2">
        <v>371</v>
      </c>
      <c r="J18" s="2">
        <v>391</v>
      </c>
      <c r="K18" s="2">
        <v>391</v>
      </c>
      <c r="L18" s="2">
        <v>391</v>
      </c>
      <c r="M18" s="2">
        <v>763</v>
      </c>
      <c r="N18" s="2">
        <v>391</v>
      </c>
      <c r="O18" s="2">
        <v>342</v>
      </c>
      <c r="P18" s="2">
        <v>342</v>
      </c>
    </row>
    <row r="19" spans="1:19" x14ac:dyDescent="0.2">
      <c r="A19" s="2" t="s">
        <v>22</v>
      </c>
      <c r="B19" s="2" t="s">
        <v>113</v>
      </c>
      <c r="C19" s="34">
        <v>170</v>
      </c>
      <c r="D19" s="25">
        <f>ROUND(SUM(E19:P19)/C6,0)</f>
        <v>170</v>
      </c>
      <c r="G19" s="2">
        <v>508</v>
      </c>
      <c r="J19" s="2">
        <v>508</v>
      </c>
      <c r="M19" s="2">
        <v>508</v>
      </c>
      <c r="P19" s="2">
        <v>520</v>
      </c>
    </row>
    <row r="20" spans="1:19" x14ac:dyDescent="0.2">
      <c r="A20" s="2" t="s">
        <v>23</v>
      </c>
      <c r="B20" s="2" t="s">
        <v>113</v>
      </c>
      <c r="C20" s="34">
        <v>373</v>
      </c>
      <c r="D20" s="25">
        <f>ROUND(SUM(E20:P20)/C6,0)</f>
        <v>374</v>
      </c>
      <c r="L20" s="2">
        <v>4487</v>
      </c>
      <c r="R20" s="2" t="s">
        <v>46</v>
      </c>
    </row>
    <row r="21" spans="1:19" x14ac:dyDescent="0.2">
      <c r="A21" s="2" t="s">
        <v>60</v>
      </c>
      <c r="B21" s="2" t="s">
        <v>113</v>
      </c>
      <c r="C21" s="34">
        <v>74</v>
      </c>
      <c r="D21" s="25">
        <f>ROUND(SUM(E21:P21)/C6,0)</f>
        <v>76</v>
      </c>
      <c r="O21" s="2">
        <v>916</v>
      </c>
    </row>
    <row r="22" spans="1:19" x14ac:dyDescent="0.2">
      <c r="A22" s="2" t="s">
        <v>50</v>
      </c>
      <c r="B22" s="2" t="s">
        <v>113</v>
      </c>
      <c r="C22" s="34">
        <v>180</v>
      </c>
      <c r="D22" s="25">
        <f>ROUND(SUM(E22:P22)/C6,0)</f>
        <v>180</v>
      </c>
      <c r="M22" s="2">
        <f>2164</f>
        <v>2164</v>
      </c>
      <c r="R22" s="2" t="s">
        <v>46</v>
      </c>
    </row>
    <row r="23" spans="1:19" x14ac:dyDescent="0.2">
      <c r="A23" s="2" t="s">
        <v>34</v>
      </c>
      <c r="B23" s="2" t="s">
        <v>116</v>
      </c>
      <c r="C23" s="34">
        <v>166</v>
      </c>
      <c r="D23" s="25">
        <f>ROUND(SUM(E23:P23)/C6,0)</f>
        <v>173</v>
      </c>
      <c r="E23" s="2">
        <f>186</f>
        <v>186</v>
      </c>
      <c r="F23" s="2">
        <v>186</v>
      </c>
      <c r="G23" s="2">
        <v>186</v>
      </c>
      <c r="H23" s="2">
        <v>186</v>
      </c>
      <c r="I23" s="2">
        <v>166</v>
      </c>
      <c r="J23" s="2">
        <v>166</v>
      </c>
      <c r="K23" s="2">
        <v>166</v>
      </c>
      <c r="L23" s="2">
        <v>166</v>
      </c>
      <c r="M23" s="2">
        <v>166</v>
      </c>
      <c r="N23" s="2">
        <v>166</v>
      </c>
      <c r="O23" s="2">
        <v>166</v>
      </c>
      <c r="P23" s="2">
        <v>166</v>
      </c>
    </row>
    <row r="24" spans="1:19" x14ac:dyDescent="0.2">
      <c r="A24" s="2" t="s">
        <v>25</v>
      </c>
      <c r="B24" s="2" t="s">
        <v>116</v>
      </c>
      <c r="C24" s="34">
        <v>260</v>
      </c>
      <c r="D24" s="25">
        <f>ROUND(SUM(E24:P24)/C6,0)</f>
        <v>273</v>
      </c>
      <c r="E24" s="2" t="s">
        <v>46</v>
      </c>
      <c r="F24" s="2" t="s">
        <v>46</v>
      </c>
      <c r="G24" s="2" t="s">
        <v>46</v>
      </c>
      <c r="H24" s="2" t="s">
        <v>46</v>
      </c>
      <c r="I24" s="2" t="s">
        <v>46</v>
      </c>
      <c r="J24" s="2" t="s">
        <v>46</v>
      </c>
      <c r="K24" s="2" t="s">
        <v>46</v>
      </c>
      <c r="L24" s="2" t="s">
        <v>46</v>
      </c>
      <c r="M24" s="2">
        <f>317</f>
        <v>317</v>
      </c>
      <c r="N24" s="2">
        <f>699+1552</f>
        <v>2251</v>
      </c>
      <c r="O24" s="2">
        <v>712</v>
      </c>
      <c r="R24" s="2">
        <f>556+565</f>
        <v>1121</v>
      </c>
    </row>
    <row r="25" spans="1:19" x14ac:dyDescent="0.2">
      <c r="A25" s="2" t="s">
        <v>52</v>
      </c>
      <c r="B25" s="2" t="s">
        <v>116</v>
      </c>
      <c r="C25" s="34">
        <v>1121</v>
      </c>
      <c r="D25" s="25">
        <f>ROUND(SUM(E25:P25)/C6,0)</f>
        <v>1121</v>
      </c>
      <c r="E25" s="2">
        <v>1121</v>
      </c>
      <c r="F25" s="2">
        <v>1121</v>
      </c>
      <c r="G25" s="2">
        <v>1121</v>
      </c>
      <c r="H25" s="2">
        <v>1121</v>
      </c>
      <c r="I25" s="2">
        <v>1121</v>
      </c>
      <c r="J25" s="2">
        <v>1121</v>
      </c>
      <c r="K25" s="2">
        <v>1121</v>
      </c>
      <c r="L25" s="2">
        <v>1121</v>
      </c>
      <c r="M25" s="2">
        <v>1121</v>
      </c>
      <c r="N25" s="2">
        <v>1121</v>
      </c>
      <c r="O25" s="2">
        <v>1121</v>
      </c>
      <c r="P25" s="2">
        <v>1121</v>
      </c>
    </row>
    <row r="26" spans="1:19" x14ac:dyDescent="0.2">
      <c r="A26" s="2" t="s">
        <v>61</v>
      </c>
      <c r="B26" s="2" t="s">
        <v>116</v>
      </c>
      <c r="C26" s="34">
        <v>37</v>
      </c>
      <c r="D26" s="25">
        <f>ROUND(SUM(E26:P26)/C6,0)</f>
        <v>37</v>
      </c>
      <c r="K26" s="2">
        <f>439</f>
        <v>439</v>
      </c>
    </row>
    <row r="27" spans="1:19" x14ac:dyDescent="0.2">
      <c r="A27" s="2" t="s">
        <v>19</v>
      </c>
      <c r="B27" s="2" t="s">
        <v>114</v>
      </c>
      <c r="C27" s="14">
        <v>2900</v>
      </c>
      <c r="D27" s="25">
        <f>ROUND(SUM(E27:P27)/C6,0)</f>
        <v>2870</v>
      </c>
      <c r="E27" s="2">
        <f>2042+110</f>
        <v>2152</v>
      </c>
      <c r="F27" s="2">
        <f>3451</f>
        <v>3451</v>
      </c>
      <c r="G27" s="2">
        <f>569+3272</f>
        <v>3841</v>
      </c>
      <c r="H27" s="2">
        <v>3811</v>
      </c>
      <c r="I27" s="2">
        <f>2789+45</f>
        <v>2834</v>
      </c>
      <c r="J27" s="2">
        <f>2294</f>
        <v>2294</v>
      </c>
      <c r="K27" s="2">
        <f>2470+20</f>
        <v>2490</v>
      </c>
      <c r="L27" s="2">
        <f>173+2437</f>
        <v>2610</v>
      </c>
      <c r="M27" s="2">
        <f>2300</f>
        <v>2300</v>
      </c>
      <c r="N27" s="2">
        <v>3049</v>
      </c>
      <c r="O27" s="2">
        <v>3046</v>
      </c>
      <c r="P27" s="2">
        <v>2563</v>
      </c>
    </row>
    <row r="28" spans="1:19" x14ac:dyDescent="0.2">
      <c r="A28" s="2" t="s">
        <v>31</v>
      </c>
      <c r="B28" s="2" t="s">
        <v>114</v>
      </c>
      <c r="C28" s="34">
        <v>252</v>
      </c>
      <c r="D28" s="25">
        <f>ROUND(SUM(E28:P28)/C6,0)</f>
        <v>249</v>
      </c>
      <c r="I28" s="2">
        <v>1465</v>
      </c>
      <c r="L28" s="2">
        <v>1528</v>
      </c>
      <c r="Q28" s="2" t="s">
        <v>46</v>
      </c>
    </row>
    <row r="29" spans="1:19" x14ac:dyDescent="0.2">
      <c r="A29" s="2" t="s">
        <v>35</v>
      </c>
      <c r="B29" s="2" t="s">
        <v>114</v>
      </c>
      <c r="C29" s="34">
        <v>900</v>
      </c>
      <c r="D29" s="25">
        <f>ROUND(SUM(E29:P29)/C6,0)</f>
        <v>894</v>
      </c>
      <c r="J29" s="2">
        <v>5967</v>
      </c>
      <c r="N29" s="2">
        <v>4538</v>
      </c>
      <c r="O29" s="2">
        <v>220</v>
      </c>
      <c r="R29" s="2">
        <f>(5967+4538)/12</f>
        <v>875.41666666666663</v>
      </c>
    </row>
    <row r="30" spans="1:19" x14ac:dyDescent="0.2">
      <c r="A30" s="2" t="s">
        <v>54</v>
      </c>
      <c r="B30" s="2" t="s">
        <v>114</v>
      </c>
      <c r="C30" s="14">
        <v>1900</v>
      </c>
      <c r="D30" s="25">
        <f>ROUND(SUM(E30:P30)/C6,0)</f>
        <v>1902</v>
      </c>
      <c r="F30" s="2">
        <f>3640+1000</f>
        <v>4640</v>
      </c>
      <c r="I30" s="2">
        <f>5246</f>
        <v>5246</v>
      </c>
      <c r="K30" s="2">
        <v>4085</v>
      </c>
      <c r="N30" s="2">
        <v>2913</v>
      </c>
      <c r="O30" s="2">
        <v>2983</v>
      </c>
      <c r="P30" s="2">
        <v>2953</v>
      </c>
    </row>
    <row r="31" spans="1:19" x14ac:dyDescent="0.2">
      <c r="A31"/>
      <c r="B31" s="18" t="s">
        <v>46</v>
      </c>
      <c r="C31" s="25"/>
      <c r="D31" s="25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1:19" x14ac:dyDescent="0.2">
      <c r="A32" s="4" t="s">
        <v>27</v>
      </c>
      <c r="B32" s="2" t="s">
        <v>27</v>
      </c>
      <c r="C32" s="34">
        <v>9900</v>
      </c>
      <c r="D32" s="25">
        <f>ROUND(SUM(E32:P32)/C6,0)</f>
        <v>10026</v>
      </c>
      <c r="E32" s="2">
        <f>273+183+1475+144+373+112+235+407+130+141+806+93+281+1758+1310</f>
        <v>7721</v>
      </c>
      <c r="F32" s="2">
        <f>439+131+251+97+1514+113+314+216+115+208+118+270+1542+673+2228+1329+331+81+351+1068+190+1412</f>
        <v>12991</v>
      </c>
      <c r="G32" s="2">
        <f>1164+235+486+60+191+44+172+260+95+517+262+584+134+108+1295+1898+1943+229+54</f>
        <v>9731</v>
      </c>
      <c r="H32" s="2">
        <f>1095+237+549+842+658+146+418+834+130+1493+1382</f>
        <v>7784</v>
      </c>
      <c r="I32" s="2">
        <f>161+182+449+83+1441+79+71+388+218+141+239+664+1361+81+549+1026+185+450+130+148+39+159+1293+189+169+1296+258</f>
        <v>11449</v>
      </c>
      <c r="J32" s="2">
        <f>306+336+147+519+1223+90+503+524+1125+314+28+127+1719+224+1107+185+498+260</f>
        <v>9235</v>
      </c>
      <c r="K32" s="2">
        <f>532+398+1704+475+290+107+636+727+767+199+1703+413+243+52+790+55+550+222+211+305+169+61+309+700+354+305+483</f>
        <v>12760</v>
      </c>
      <c r="L32" s="2">
        <v>9600</v>
      </c>
      <c r="M32" s="2">
        <v>7600</v>
      </c>
      <c r="N32" s="2">
        <f>713+517+440+87+168+174+165+178+600+1704+169+84+757+1515+183+564+1582+84</f>
        <v>9684</v>
      </c>
      <c r="O32" s="2">
        <f>142+70+1691+96+159+199+477+94+1301+1182+130+377+168+383+1373+300+2386+432</f>
        <v>10960</v>
      </c>
      <c r="P32" s="25">
        <f>377+115+441+531+223+397+1241+1217+270+1078+720+1467+2028+690</f>
        <v>10795</v>
      </c>
    </row>
    <row r="33" spans="1:19" x14ac:dyDescent="0.2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:19" x14ac:dyDescent="0.2">
      <c r="A34" s="11" t="s">
        <v>174</v>
      </c>
      <c r="B34" s="11"/>
      <c r="C34" s="12" t="s">
        <v>46</v>
      </c>
      <c r="D34" s="13"/>
      <c r="E34" s="11"/>
      <c r="F34" s="11"/>
      <c r="G34" s="11"/>
      <c r="H34" s="11"/>
      <c r="I34" s="11"/>
      <c r="J34" s="11"/>
      <c r="K34" s="11">
        <v>0</v>
      </c>
      <c r="L34" s="11"/>
      <c r="M34" s="11">
        <v>0</v>
      </c>
      <c r="N34" s="11"/>
      <c r="O34" s="11"/>
      <c r="P34" s="11"/>
      <c r="Q34" s="11"/>
      <c r="R34" s="11"/>
      <c r="S34" s="11"/>
    </row>
    <row r="36" spans="1:19" x14ac:dyDescent="0.2">
      <c r="A36" s="2" t="s">
        <v>172</v>
      </c>
      <c r="B36" s="2" t="s">
        <v>171</v>
      </c>
      <c r="C36" s="25">
        <v>0</v>
      </c>
      <c r="D36" s="25"/>
    </row>
    <row r="37" spans="1:19" x14ac:dyDescent="0.2">
      <c r="A37" s="2" t="s">
        <v>163</v>
      </c>
      <c r="B37" s="2" t="s">
        <v>171</v>
      </c>
      <c r="C37" s="25">
        <v>333</v>
      </c>
      <c r="D37" s="25">
        <v>0</v>
      </c>
      <c r="H37" s="2">
        <v>1200</v>
      </c>
      <c r="I37" s="2">
        <v>0</v>
      </c>
      <c r="P37" s="2">
        <v>3900</v>
      </c>
    </row>
    <row r="38" spans="1:19" x14ac:dyDescent="0.2">
      <c r="A38" s="2" t="s">
        <v>165</v>
      </c>
      <c r="B38" s="2" t="s">
        <v>171</v>
      </c>
      <c r="C38" s="25">
        <v>167</v>
      </c>
      <c r="D38" s="25"/>
      <c r="E38" s="11"/>
      <c r="F38" s="11"/>
      <c r="G38" s="11"/>
      <c r="H38" s="11"/>
      <c r="I38" s="2">
        <v>0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</row>
    <row r="39" spans="1:19" x14ac:dyDescent="0.2">
      <c r="A39" s="2" t="s">
        <v>38</v>
      </c>
      <c r="B39" s="2" t="s">
        <v>171</v>
      </c>
      <c r="C39" s="25">
        <v>50</v>
      </c>
      <c r="D39" s="25"/>
      <c r="E39" s="2">
        <v>0</v>
      </c>
      <c r="H39" s="2">
        <v>0</v>
      </c>
      <c r="I39" s="2">
        <v>649</v>
      </c>
      <c r="J39" s="2">
        <v>0</v>
      </c>
      <c r="L39" s="2">
        <v>0</v>
      </c>
      <c r="N39" s="2">
        <v>0</v>
      </c>
      <c r="O39" s="2">
        <v>0</v>
      </c>
    </row>
    <row r="41" spans="1:19" x14ac:dyDescent="0.2">
      <c r="A41" s="2" t="s">
        <v>3</v>
      </c>
      <c r="B41" s="2" t="s">
        <v>3</v>
      </c>
      <c r="C41" s="25">
        <v>0</v>
      </c>
      <c r="D41" s="25">
        <v>0</v>
      </c>
      <c r="E41" s="25">
        <v>105</v>
      </c>
      <c r="F41" s="25">
        <v>0</v>
      </c>
      <c r="G41" s="25">
        <v>0</v>
      </c>
      <c r="H41" s="25">
        <v>0</v>
      </c>
      <c r="I41" s="25">
        <v>475</v>
      </c>
      <c r="J41" s="25">
        <v>171</v>
      </c>
      <c r="K41" s="25">
        <f>600+97+28</f>
        <v>725</v>
      </c>
      <c r="L41" s="25">
        <v>0</v>
      </c>
      <c r="M41" s="25">
        <f>93+339</f>
        <v>432</v>
      </c>
      <c r="N41" s="25">
        <v>0</v>
      </c>
      <c r="O41" s="25">
        <f>425+600+5500</f>
        <v>6525</v>
      </c>
      <c r="P41" s="2">
        <v>5500</v>
      </c>
    </row>
    <row r="42" spans="1:19" x14ac:dyDescent="0.2">
      <c r="A42" s="2" t="s">
        <v>164</v>
      </c>
      <c r="B42" s="2" t="s">
        <v>171</v>
      </c>
      <c r="C42" s="25">
        <v>0</v>
      </c>
      <c r="D42" s="25">
        <f>ROUND(SUM(I42:P42)/C16,0)</f>
        <v>0</v>
      </c>
      <c r="H42" s="2">
        <f>1950</f>
        <v>1950</v>
      </c>
      <c r="I42" s="2">
        <v>0</v>
      </c>
    </row>
    <row r="43" spans="1:19" x14ac:dyDescent="0.2">
      <c r="A43" s="2" t="s">
        <v>65</v>
      </c>
      <c r="B43" s="2" t="s">
        <v>171</v>
      </c>
      <c r="C43" s="25">
        <v>0</v>
      </c>
      <c r="D43" s="25">
        <f>ROUND(SUM(E43:P43)/C6,0)</f>
        <v>192</v>
      </c>
      <c r="E43" s="2">
        <v>1150</v>
      </c>
      <c r="F43" s="2">
        <v>1150</v>
      </c>
      <c r="G43" s="2">
        <v>0</v>
      </c>
    </row>
    <row r="44" spans="1:19" x14ac:dyDescent="0.2">
      <c r="A44" s="2" t="s">
        <v>97</v>
      </c>
      <c r="B44" s="2" t="s">
        <v>97</v>
      </c>
      <c r="C44" s="25">
        <f>4000+600+300</f>
        <v>4900</v>
      </c>
      <c r="D44" s="25">
        <f t="shared" ref="D44:M44" si="2">C44</f>
        <v>4900</v>
      </c>
      <c r="E44" s="25">
        <f t="shared" si="2"/>
        <v>4900</v>
      </c>
      <c r="F44" s="25">
        <f t="shared" si="2"/>
        <v>4900</v>
      </c>
      <c r="G44" s="25">
        <f t="shared" si="2"/>
        <v>4900</v>
      </c>
      <c r="H44" s="25">
        <f t="shared" si="2"/>
        <v>4900</v>
      </c>
      <c r="I44" s="25">
        <v>4900</v>
      </c>
      <c r="J44" s="25">
        <v>4900</v>
      </c>
      <c r="K44" s="25">
        <v>4900</v>
      </c>
      <c r="L44" s="25">
        <f t="shared" si="2"/>
        <v>4900</v>
      </c>
      <c r="M44" s="25">
        <f t="shared" si="2"/>
        <v>4900</v>
      </c>
      <c r="N44" s="25">
        <v>4900</v>
      </c>
      <c r="O44" s="25">
        <v>0</v>
      </c>
      <c r="P44" s="25">
        <f>O44</f>
        <v>0</v>
      </c>
    </row>
    <row r="45" spans="1:19" x14ac:dyDescent="0.2">
      <c r="A45" s="2" t="s">
        <v>121</v>
      </c>
      <c r="B45" s="2" t="s">
        <v>117</v>
      </c>
      <c r="C45" s="2">
        <v>8000</v>
      </c>
      <c r="D45" s="9">
        <f>ROUND(SUM(E45:P45)/C6,0)</f>
        <v>15894</v>
      </c>
      <c r="E45" s="2">
        <f>15950-E32</f>
        <v>8229</v>
      </c>
      <c r="F45" s="2">
        <f>24540-F32-1000</f>
        <v>10549</v>
      </c>
      <c r="G45" s="2">
        <f>21111-G32</f>
        <v>11380</v>
      </c>
      <c r="H45" s="2">
        <f>20877-H32</f>
        <v>13093</v>
      </c>
      <c r="I45" s="2">
        <f>36584-I32-5246</f>
        <v>19889</v>
      </c>
      <c r="J45" s="9">
        <f>22223-J32</f>
        <v>12988</v>
      </c>
      <c r="K45" s="2">
        <f>36893-K32-4085</f>
        <v>20048</v>
      </c>
      <c r="L45" s="9">
        <f>71122-L32</f>
        <v>61522</v>
      </c>
      <c r="M45" s="35">
        <f>8080-M32</f>
        <v>480</v>
      </c>
      <c r="N45" s="2">
        <f>20565-N32</f>
        <v>10881</v>
      </c>
      <c r="O45" s="2">
        <f>19574-O32</f>
        <v>8614</v>
      </c>
      <c r="P45" s="2">
        <f>23854-P32</f>
        <v>13059</v>
      </c>
    </row>
    <row r="46" spans="1:19" x14ac:dyDescent="0.2">
      <c r="A46" s="11" t="s">
        <v>40</v>
      </c>
      <c r="B46" s="11"/>
      <c r="C46" s="9">
        <f>SUM(C12:C45)</f>
        <v>46065</v>
      </c>
      <c r="D46" s="9">
        <f>SUM(D12:D45)</f>
        <v>54191</v>
      </c>
    </row>
    <row r="47" spans="1:19" x14ac:dyDescent="0.2">
      <c r="A47" s="2" t="s">
        <v>123</v>
      </c>
      <c r="C47" s="2">
        <f>C46-C45</f>
        <v>38065</v>
      </c>
    </row>
    <row r="49" spans="1:15" x14ac:dyDescent="0.2">
      <c r="A49" s="2" t="s">
        <v>175</v>
      </c>
      <c r="C49" s="2">
        <v>51700</v>
      </c>
    </row>
    <row r="50" spans="1:15" x14ac:dyDescent="0.2">
      <c r="A50" s="2" t="s">
        <v>176</v>
      </c>
      <c r="C50" s="2">
        <f>C49-C47</f>
        <v>13635</v>
      </c>
    </row>
    <row r="51" spans="1:15" x14ac:dyDescent="0.2">
      <c r="A51" s="11" t="s">
        <v>173</v>
      </c>
      <c r="C51" s="9">
        <f>C50-5000</f>
        <v>8635</v>
      </c>
    </row>
    <row r="52" spans="1:15" x14ac:dyDescent="0.2">
      <c r="A52" s="11"/>
    </row>
    <row r="54" spans="1:15" x14ac:dyDescent="0.2">
      <c r="A54" s="11" t="s">
        <v>109</v>
      </c>
      <c r="B54" s="11"/>
      <c r="C54" s="9"/>
      <c r="D54" s="2">
        <f t="shared" ref="D54:O54" si="3">D32+D45</f>
        <v>25920</v>
      </c>
      <c r="E54" s="2">
        <f t="shared" si="3"/>
        <v>15950</v>
      </c>
      <c r="F54" s="2">
        <f t="shared" si="3"/>
        <v>23540</v>
      </c>
      <c r="G54" s="2">
        <f t="shared" si="3"/>
        <v>21111</v>
      </c>
      <c r="H54" s="2">
        <f t="shared" si="3"/>
        <v>20877</v>
      </c>
      <c r="I54" s="2">
        <f t="shared" si="3"/>
        <v>31338</v>
      </c>
      <c r="J54" s="2">
        <f t="shared" si="3"/>
        <v>22223</v>
      </c>
      <c r="K54" s="2">
        <f t="shared" si="3"/>
        <v>32808</v>
      </c>
      <c r="L54" s="2">
        <f t="shared" si="3"/>
        <v>71122</v>
      </c>
      <c r="M54" s="2">
        <f t="shared" si="3"/>
        <v>8080</v>
      </c>
      <c r="N54" s="2">
        <f t="shared" si="3"/>
        <v>20565</v>
      </c>
      <c r="O54" s="2">
        <f t="shared" si="3"/>
        <v>19574</v>
      </c>
    </row>
    <row r="55" spans="1:15" x14ac:dyDescent="0.2">
      <c r="A55" s="11" t="s">
        <v>110</v>
      </c>
      <c r="E55" s="2">
        <v>10000</v>
      </c>
      <c r="F55" s="2">
        <v>10000</v>
      </c>
      <c r="J55" s="14"/>
      <c r="K55" s="14"/>
      <c r="M55" s="2">
        <v>0</v>
      </c>
      <c r="N55" s="2">
        <v>0</v>
      </c>
    </row>
    <row r="56" spans="1:15" x14ac:dyDescent="0.2">
      <c r="A56" s="11" t="s">
        <v>166</v>
      </c>
      <c r="B56" s="11"/>
      <c r="E56" s="2">
        <v>10000</v>
      </c>
      <c r="F56" s="2">
        <v>10000</v>
      </c>
      <c r="G56" s="10"/>
      <c r="M56" s="2">
        <v>0</v>
      </c>
      <c r="N56" s="2">
        <v>0</v>
      </c>
    </row>
    <row r="57" spans="1:15" x14ac:dyDescent="0.2">
      <c r="A57" s="11" t="s">
        <v>167</v>
      </c>
      <c r="B57" s="11"/>
      <c r="E57" s="2">
        <v>15000</v>
      </c>
      <c r="F57" s="2">
        <v>13000</v>
      </c>
      <c r="G57" s="10"/>
      <c r="H57" s="2">
        <v>22000</v>
      </c>
      <c r="M57" s="2">
        <v>0</v>
      </c>
    </row>
    <row r="58" spans="1:15" x14ac:dyDescent="0.2">
      <c r="A58" s="11" t="s">
        <v>26</v>
      </c>
      <c r="B58" s="11"/>
      <c r="M58" s="2">
        <f>SUM(M55:M57)</f>
        <v>0</v>
      </c>
      <c r="N58" s="2">
        <f>SUM(N55:N57)</f>
        <v>0</v>
      </c>
    </row>
    <row r="59" spans="1:15" x14ac:dyDescent="0.2">
      <c r="A59" s="11"/>
      <c r="B59" s="11"/>
    </row>
    <row r="60" spans="1:15" x14ac:dyDescent="0.2">
      <c r="L60" s="2" t="s">
        <v>46</v>
      </c>
    </row>
    <row r="61" spans="1:15" x14ac:dyDescent="0.2">
      <c r="A61" s="11" t="s">
        <v>124</v>
      </c>
      <c r="B61" s="2">
        <v>1400</v>
      </c>
    </row>
    <row r="62" spans="1:15" x14ac:dyDescent="0.2">
      <c r="A62" s="11" t="s">
        <v>148</v>
      </c>
      <c r="B62" s="2">
        <v>1000</v>
      </c>
    </row>
    <row r="68" spans="1:2" x14ac:dyDescent="0.2">
      <c r="A68" s="11" t="s">
        <v>119</v>
      </c>
      <c r="B68" s="2" t="s">
        <v>131</v>
      </c>
    </row>
    <row r="69" spans="1:2" x14ac:dyDescent="0.2">
      <c r="A69" s="2" t="s">
        <v>113</v>
      </c>
      <c r="B69" s="2">
        <f>SUM(C12:C22)</f>
        <v>15179</v>
      </c>
    </row>
    <row r="70" spans="1:2" x14ac:dyDescent="0.2">
      <c r="A70" s="2" t="s">
        <v>120</v>
      </c>
      <c r="B70" s="2">
        <f>SUM(C23:C26)</f>
        <v>1584</v>
      </c>
    </row>
    <row r="71" spans="1:2" x14ac:dyDescent="0.2">
      <c r="A71" s="2" t="s">
        <v>114</v>
      </c>
      <c r="B71" s="2">
        <f>SUM(C27:C30)</f>
        <v>5952</v>
      </c>
    </row>
    <row r="72" spans="1:2" x14ac:dyDescent="0.2">
      <c r="A72" s="2" t="s">
        <v>27</v>
      </c>
      <c r="B72" s="2">
        <f>C32</f>
        <v>9900</v>
      </c>
    </row>
    <row r="73" spans="1:2" x14ac:dyDescent="0.2">
      <c r="A73" s="2" t="s">
        <v>127</v>
      </c>
      <c r="B73" s="2">
        <f>C44</f>
        <v>4900</v>
      </c>
    </row>
    <row r="74" spans="1:2" x14ac:dyDescent="0.2">
      <c r="A74" s="2" t="s">
        <v>122</v>
      </c>
      <c r="B74" s="2">
        <f>C45</f>
        <v>8000</v>
      </c>
    </row>
    <row r="75" spans="1:2" x14ac:dyDescent="0.2">
      <c r="A75" s="2" t="s">
        <v>44</v>
      </c>
      <c r="B75" s="2">
        <f>SUM(B69:B74)</f>
        <v>45515</v>
      </c>
    </row>
    <row r="77" spans="1:2" x14ac:dyDescent="0.2">
      <c r="A77" s="2" t="s">
        <v>126</v>
      </c>
      <c r="B77" s="9">
        <v>49400</v>
      </c>
    </row>
    <row r="81" spans="1:19" x14ac:dyDescent="0.2">
      <c r="A81" s="2" t="s">
        <v>128</v>
      </c>
    </row>
    <row r="82" spans="1:19" x14ac:dyDescent="0.2">
      <c r="A82" s="2" t="s">
        <v>129</v>
      </c>
      <c r="B82" s="2">
        <f>45500</f>
        <v>45500</v>
      </c>
    </row>
    <row r="88" spans="1:19" x14ac:dyDescent="0.2">
      <c r="C88" s="2" t="s">
        <v>92</v>
      </c>
      <c r="D88" s="2" t="s">
        <v>93</v>
      </c>
      <c r="G88" s="14">
        <v>3000</v>
      </c>
    </row>
    <row r="89" spans="1:19" x14ac:dyDescent="0.2">
      <c r="A89" s="2" t="s">
        <v>90</v>
      </c>
      <c r="C89" s="2">
        <v>1248</v>
      </c>
      <c r="D89" s="2">
        <f>C89/12</f>
        <v>104</v>
      </c>
      <c r="G89" s="34">
        <v>252</v>
      </c>
    </row>
    <row r="90" spans="1:19" x14ac:dyDescent="0.2">
      <c r="A90" s="2" t="s">
        <v>91</v>
      </c>
      <c r="C90" s="2">
        <v>1332</v>
      </c>
      <c r="D90" s="2">
        <f>C90/12</f>
        <v>111</v>
      </c>
      <c r="G90" s="34">
        <v>880</v>
      </c>
    </row>
    <row r="91" spans="1:19" x14ac:dyDescent="0.2">
      <c r="A91" s="11" t="s">
        <v>94</v>
      </c>
      <c r="B91" s="11"/>
      <c r="C91" s="11">
        <f>C89+C90</f>
        <v>2580</v>
      </c>
      <c r="D91" s="11">
        <f>D89+D90</f>
        <v>215</v>
      </c>
      <c r="E91" s="11"/>
      <c r="F91" s="11"/>
      <c r="G91" s="34">
        <v>1200</v>
      </c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</row>
    <row r="92" spans="1:19" x14ac:dyDescent="0.2">
      <c r="G92" s="2">
        <f>G88+G89+G90+G91</f>
        <v>5332</v>
      </c>
    </row>
    <row r="93" spans="1:19" x14ac:dyDescent="0.2">
      <c r="A93" s="4"/>
      <c r="B93" s="4"/>
    </row>
    <row r="94" spans="1:19" x14ac:dyDescent="0.2">
      <c r="J94" s="9"/>
    </row>
    <row r="95" spans="1:19" x14ac:dyDescent="0.2">
      <c r="C95" s="2" t="s">
        <v>92</v>
      </c>
      <c r="D95" s="2" t="s">
        <v>93</v>
      </c>
    </row>
    <row r="96" spans="1:19" x14ac:dyDescent="0.2">
      <c r="A96" s="2" t="s">
        <v>95</v>
      </c>
      <c r="C96" s="2">
        <f>D96*12</f>
        <v>4140</v>
      </c>
      <c r="D96" s="2">
        <v>345</v>
      </c>
    </row>
    <row r="97" spans="1:19" x14ac:dyDescent="0.2">
      <c r="A97" s="2" t="s">
        <v>96</v>
      </c>
      <c r="C97" s="2">
        <f>D97*12</f>
        <v>3228</v>
      </c>
      <c r="D97" s="2">
        <v>269</v>
      </c>
    </row>
    <row r="98" spans="1:19" x14ac:dyDescent="0.2">
      <c r="A98" s="11" t="s">
        <v>94</v>
      </c>
      <c r="B98" s="11"/>
      <c r="C98" s="11">
        <f>C96+C97</f>
        <v>7368</v>
      </c>
      <c r="D98" s="11">
        <f>D96+D97</f>
        <v>614</v>
      </c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</row>
    <row r="104" spans="1:19" x14ac:dyDescent="0.2">
      <c r="A104" s="2" t="s">
        <v>99</v>
      </c>
      <c r="D104" s="2" t="s">
        <v>132</v>
      </c>
    </row>
    <row r="106" spans="1:19" x14ac:dyDescent="0.2">
      <c r="A106" s="2" t="s">
        <v>19</v>
      </c>
      <c r="B106" s="2">
        <f>C27</f>
        <v>2900</v>
      </c>
    </row>
    <row r="107" spans="1:19" x14ac:dyDescent="0.2">
      <c r="A107" s="2" t="s">
        <v>31</v>
      </c>
      <c r="B107" s="2">
        <f>C28</f>
        <v>252</v>
      </c>
    </row>
    <row r="108" spans="1:19" x14ac:dyDescent="0.2">
      <c r="A108" s="2" t="s">
        <v>35</v>
      </c>
      <c r="B108" s="2">
        <f>C29</f>
        <v>900</v>
      </c>
    </row>
    <row r="109" spans="1:19" x14ac:dyDescent="0.2">
      <c r="A109" s="2" t="s">
        <v>54</v>
      </c>
      <c r="B109" s="2">
        <f>C30</f>
        <v>1900</v>
      </c>
    </row>
    <row r="111" spans="1:19" x14ac:dyDescent="0.2">
      <c r="A111" s="2" t="s">
        <v>26</v>
      </c>
      <c r="B111" s="2">
        <f>SUM(B106:B109)</f>
        <v>5952</v>
      </c>
    </row>
    <row r="114" spans="1:19" x14ac:dyDescent="0.2">
      <c r="A114" s="2" t="s">
        <v>107</v>
      </c>
    </row>
    <row r="115" spans="1:19" x14ac:dyDescent="0.2">
      <c r="A115" s="2" t="s">
        <v>108</v>
      </c>
    </row>
    <row r="117" spans="1:19" x14ac:dyDescent="0.2">
      <c r="A117" s="11"/>
      <c r="B117" s="11" t="s">
        <v>134</v>
      </c>
      <c r="C117" s="11" t="s">
        <v>135</v>
      </c>
      <c r="D117" s="11" t="s">
        <v>136</v>
      </c>
      <c r="E117" s="11" t="s">
        <v>137</v>
      </c>
      <c r="F117" s="11" t="s">
        <v>138</v>
      </c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</row>
    <row r="118" spans="1:19" x14ac:dyDescent="0.2">
      <c r="A118" s="2" t="s">
        <v>133</v>
      </c>
      <c r="B118" s="2" t="s">
        <v>149</v>
      </c>
      <c r="C118" s="2" t="s">
        <v>140</v>
      </c>
      <c r="D118" s="2" t="s">
        <v>149</v>
      </c>
      <c r="E118" s="2" t="s">
        <v>140</v>
      </c>
      <c r="F118" s="2" t="s">
        <v>140</v>
      </c>
    </row>
    <row r="119" spans="1:19" x14ac:dyDescent="0.2">
      <c r="A119" s="2" t="s">
        <v>139</v>
      </c>
      <c r="B119" s="2" t="s">
        <v>140</v>
      </c>
      <c r="C119" s="2" t="s">
        <v>149</v>
      </c>
      <c r="D119" s="2" t="s">
        <v>140</v>
      </c>
      <c r="E119" s="2" t="s">
        <v>149</v>
      </c>
      <c r="F119" s="2" t="s">
        <v>149</v>
      </c>
    </row>
    <row r="121" spans="1:19" x14ac:dyDescent="0.2">
      <c r="A121" s="2" t="s">
        <v>144</v>
      </c>
      <c r="B121" s="2">
        <v>700</v>
      </c>
    </row>
    <row r="122" spans="1:19" x14ac:dyDescent="0.2">
      <c r="A122" s="2" t="s">
        <v>141</v>
      </c>
      <c r="B122" s="2">
        <v>-1000</v>
      </c>
    </row>
    <row r="123" spans="1:19" x14ac:dyDescent="0.2">
      <c r="A123" s="2" t="s">
        <v>142</v>
      </c>
      <c r="B123" s="2">
        <v>-406</v>
      </c>
    </row>
    <row r="124" spans="1:19" x14ac:dyDescent="0.2">
      <c r="A124" s="2" t="s">
        <v>143</v>
      </c>
      <c r="B124" s="2">
        <v>-150</v>
      </c>
    </row>
    <row r="125" spans="1:19" x14ac:dyDescent="0.2">
      <c r="A125" s="2" t="s">
        <v>145</v>
      </c>
      <c r="B125" s="2">
        <v>-550</v>
      </c>
    </row>
    <row r="126" spans="1:19" x14ac:dyDescent="0.2">
      <c r="A126" s="11" t="s">
        <v>146</v>
      </c>
      <c r="B126" s="11">
        <f>SUM(B121:B125)</f>
        <v>-1406</v>
      </c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</row>
    <row r="129" spans="1:6" x14ac:dyDescent="0.2">
      <c r="A129" s="2" t="s">
        <v>104</v>
      </c>
      <c r="B129" s="2">
        <v>5</v>
      </c>
    </row>
    <row r="130" spans="1:6" x14ac:dyDescent="0.2">
      <c r="A130" s="2" t="s">
        <v>103</v>
      </c>
      <c r="B130" s="2">
        <v>0.06</v>
      </c>
    </row>
    <row r="131" spans="1:6" x14ac:dyDescent="0.2">
      <c r="A131" s="2" t="s">
        <v>100</v>
      </c>
      <c r="B131" s="2">
        <f>50000</f>
        <v>50000</v>
      </c>
      <c r="C131" s="2" t="s">
        <v>102</v>
      </c>
      <c r="D131" s="2" t="s">
        <v>105</v>
      </c>
      <c r="E131" s="2" t="s">
        <v>103</v>
      </c>
      <c r="F131" s="2" t="s">
        <v>44</v>
      </c>
    </row>
    <row r="132" spans="1:6" x14ac:dyDescent="0.2">
      <c r="A132" s="2" t="s">
        <v>101</v>
      </c>
      <c r="C132" s="2">
        <v>50000</v>
      </c>
      <c r="D132" s="2">
        <f>C132/B129/12</f>
        <v>833.33333333333337</v>
      </c>
      <c r="E132" s="2">
        <f>((C132*B130)/12)*0.7</f>
        <v>175</v>
      </c>
      <c r="F132" s="2">
        <f>D132+E132</f>
        <v>1008.3333333333334</v>
      </c>
    </row>
    <row r="133" spans="1:6" x14ac:dyDescent="0.2">
      <c r="A133" s="2" t="s">
        <v>106</v>
      </c>
      <c r="C133" s="2">
        <v>100000</v>
      </c>
      <c r="D133" s="2">
        <f>C133/B129/12</f>
        <v>1666.6666666666667</v>
      </c>
      <c r="E133" s="2">
        <f>((C133*B130)/12)*0.7</f>
        <v>350</v>
      </c>
      <c r="F133" s="2">
        <f>D133+E133</f>
        <v>2016.6666666666667</v>
      </c>
    </row>
  </sheetData>
  <phoneticPr fontId="0" type="noConversion"/>
  <pageMargins left="1.2597222222222222" right="1.2597222222222222" top="0.98472222222222228" bottom="0.98472222222222228" header="0.51180555555555551" footer="0.74791666666666667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33"/>
  <sheetViews>
    <sheetView topLeftCell="A16" workbookViewId="0">
      <selection activeCell="D40" sqref="D40"/>
    </sheetView>
  </sheetViews>
  <sheetFormatPr defaultColWidth="10" defaultRowHeight="12.75" x14ac:dyDescent="0.2"/>
  <cols>
    <col min="1" max="1" width="9.140625" style="28" customWidth="1"/>
    <col min="2" max="2" width="21.85546875" style="2" customWidth="1"/>
    <col min="3" max="3" width="10.5703125" style="2" customWidth="1"/>
    <col min="4" max="4" width="10" style="2" customWidth="1"/>
    <col min="5" max="6" width="9.140625" style="2" customWidth="1"/>
    <col min="7" max="16384" width="10" style="2"/>
  </cols>
  <sheetData>
    <row r="1" spans="1:20" x14ac:dyDescent="0.2">
      <c r="B1" s="2" t="s">
        <v>53</v>
      </c>
      <c r="E1" s="2">
        <f>2974/12</f>
        <v>247.83333333333334</v>
      </c>
      <c r="F1" s="2" t="s">
        <v>46</v>
      </c>
      <c r="G1" s="23"/>
      <c r="J1" s="23"/>
      <c r="O1" s="2" t="s">
        <v>46</v>
      </c>
      <c r="P1" s="2" t="s">
        <v>46</v>
      </c>
    </row>
    <row r="2" spans="1:20" ht="17.25" customHeight="1" x14ac:dyDescent="0.2">
      <c r="D2" s="2">
        <f>2496/12</f>
        <v>208</v>
      </c>
      <c r="F2" s="19" t="s">
        <v>46</v>
      </c>
      <c r="H2" s="2" t="s">
        <v>46</v>
      </c>
      <c r="M2" s="17" t="s">
        <v>46</v>
      </c>
      <c r="N2" s="2" t="s">
        <v>46</v>
      </c>
      <c r="O2" s="2" t="s">
        <v>46</v>
      </c>
      <c r="P2" s="2" t="s">
        <v>46</v>
      </c>
    </row>
    <row r="3" spans="1:20" ht="17.25" customHeight="1" x14ac:dyDescent="0.2">
      <c r="B3" s="2" t="s">
        <v>51</v>
      </c>
      <c r="F3" s="8"/>
      <c r="M3" s="2" t="s">
        <v>46</v>
      </c>
      <c r="N3" s="2" t="s">
        <v>46</v>
      </c>
      <c r="O3" s="2" t="s">
        <v>46</v>
      </c>
      <c r="P3" s="2" t="s">
        <v>46</v>
      </c>
      <c r="Q3" s="2" t="s">
        <v>46</v>
      </c>
    </row>
    <row r="4" spans="1:20" x14ac:dyDescent="0.2">
      <c r="B4" s="2" t="s">
        <v>18</v>
      </c>
      <c r="D4" s="2">
        <v>12</v>
      </c>
      <c r="G4" s="1"/>
      <c r="H4" s="1"/>
      <c r="J4" s="1"/>
      <c r="K4" s="1"/>
      <c r="L4" s="1"/>
      <c r="M4" s="1"/>
      <c r="N4" s="1"/>
      <c r="O4" s="1"/>
      <c r="P4" s="1"/>
    </row>
    <row r="5" spans="1:20" x14ac:dyDescent="0.2">
      <c r="B5" s="2" t="s">
        <v>79</v>
      </c>
      <c r="G5" s="1"/>
      <c r="H5" s="1"/>
      <c r="J5" s="1"/>
      <c r="K5" s="1"/>
      <c r="L5" s="1"/>
      <c r="M5" s="1"/>
      <c r="N5" s="1"/>
      <c r="O5" s="1"/>
      <c r="P5" s="1"/>
    </row>
    <row r="6" spans="1:20" x14ac:dyDescent="0.2">
      <c r="B6" s="2" t="s">
        <v>29</v>
      </c>
      <c r="E6" s="2">
        <f>ROUND(SUM(F6:Q6)/D4,0)</f>
        <v>51625</v>
      </c>
      <c r="F6" s="2">
        <f>26569+18897+2200</f>
        <v>47666</v>
      </c>
      <c r="G6" s="2">
        <f>28485+18897+2200</f>
        <v>49582</v>
      </c>
      <c r="H6" s="2">
        <f>28485+19209+2200</f>
        <v>49894</v>
      </c>
      <c r="I6" s="2">
        <f>37100+19209+2200</f>
        <v>58509</v>
      </c>
      <c r="J6" s="2">
        <f>27091+19209+2200</f>
        <v>48500</v>
      </c>
      <c r="K6" s="2">
        <f>31471+22432+2200</f>
        <v>56103</v>
      </c>
      <c r="L6" s="2">
        <f>27091+19209+2200</f>
        <v>48500</v>
      </c>
      <c r="M6" s="2">
        <f>27091+19209+2200</f>
        <v>48500</v>
      </c>
      <c r="N6" s="2">
        <f>28185+22440+2200</f>
        <v>52825</v>
      </c>
      <c r="O6" s="2">
        <f>27440+19760+2200</f>
        <v>49400</v>
      </c>
      <c r="P6" s="2">
        <f>27077+19760+2200</f>
        <v>49037</v>
      </c>
      <c r="Q6" s="2">
        <f>39020+19760+2200</f>
        <v>60980</v>
      </c>
    </row>
    <row r="7" spans="1:20" x14ac:dyDescent="0.2">
      <c r="B7" s="2" t="s">
        <v>32</v>
      </c>
      <c r="E7" s="2">
        <f>ROUND(SUM(F7:Q7)/D4,0)</f>
        <v>-575</v>
      </c>
      <c r="F7" s="2">
        <f>F6-F9</f>
        <v>474</v>
      </c>
      <c r="G7" s="2">
        <f>G6-G9</f>
        <v>-4959</v>
      </c>
      <c r="H7" s="2">
        <f>H6-H9</f>
        <v>4140</v>
      </c>
      <c r="I7" s="2">
        <f>I6-I9</f>
        <v>5400</v>
      </c>
      <c r="J7" s="2">
        <f>J6-J9</f>
        <v>3122</v>
      </c>
      <c r="K7" s="2">
        <f t="shared" ref="K7:Q7" si="0">K6-K9</f>
        <v>-4702</v>
      </c>
      <c r="L7" s="2">
        <f t="shared" si="0"/>
        <v>-3190</v>
      </c>
      <c r="M7" s="2">
        <f t="shared" si="0"/>
        <v>-12832</v>
      </c>
      <c r="N7" s="2">
        <f t="shared" si="0"/>
        <v>986</v>
      </c>
      <c r="O7" s="2">
        <f t="shared" si="0"/>
        <v>1905</v>
      </c>
      <c r="P7" s="2">
        <f t="shared" si="0"/>
        <v>-6558</v>
      </c>
      <c r="Q7" s="2">
        <f t="shared" si="0"/>
        <v>9315</v>
      </c>
    </row>
    <row r="8" spans="1:20" x14ac:dyDescent="0.2">
      <c r="A8" s="32">
        <v>2006</v>
      </c>
      <c r="B8" s="3" t="s">
        <v>0</v>
      </c>
      <c r="C8" s="3"/>
      <c r="D8" s="4" t="s">
        <v>1</v>
      </c>
      <c r="E8" s="7" t="s">
        <v>5</v>
      </c>
      <c r="F8" s="5" t="s">
        <v>6</v>
      </c>
      <c r="G8" s="5" t="s">
        <v>7</v>
      </c>
      <c r="H8" s="4" t="s">
        <v>8</v>
      </c>
      <c r="I8" s="5" t="s">
        <v>9</v>
      </c>
      <c r="J8" s="5" t="s">
        <v>10</v>
      </c>
      <c r="K8" s="5" t="s">
        <v>11</v>
      </c>
      <c r="L8" s="5" t="s">
        <v>12</v>
      </c>
      <c r="M8" s="5" t="s">
        <v>13</v>
      </c>
      <c r="N8" s="5" t="s">
        <v>14</v>
      </c>
      <c r="O8" s="5" t="s">
        <v>15</v>
      </c>
      <c r="P8" s="5" t="s">
        <v>16</v>
      </c>
      <c r="Q8" s="5" t="s">
        <v>17</v>
      </c>
      <c r="R8" s="3"/>
      <c r="S8" s="3"/>
    </row>
    <row r="9" spans="1:20" x14ac:dyDescent="0.2">
      <c r="A9" s="28">
        <f>SUM(A10:A38)</f>
        <v>3000</v>
      </c>
      <c r="B9" s="3" t="s">
        <v>26</v>
      </c>
      <c r="D9" s="4"/>
      <c r="E9" s="2">
        <f>ROUND(SUM(F9:Q9)/D4,0)</f>
        <v>52200</v>
      </c>
      <c r="F9" s="4">
        <f t="shared" ref="F9:O9" si="1">SUM(F10:F45)</f>
        <v>47192</v>
      </c>
      <c r="G9" s="4">
        <f t="shared" si="1"/>
        <v>54541</v>
      </c>
      <c r="H9" s="4">
        <f t="shared" si="1"/>
        <v>45754</v>
      </c>
      <c r="I9" s="4">
        <f t="shared" si="1"/>
        <v>53109</v>
      </c>
      <c r="J9" s="4">
        <f t="shared" si="1"/>
        <v>45378</v>
      </c>
      <c r="K9" s="4">
        <f t="shared" si="1"/>
        <v>60805</v>
      </c>
      <c r="L9" s="4">
        <f t="shared" si="1"/>
        <v>51690</v>
      </c>
      <c r="M9" s="4">
        <f t="shared" si="1"/>
        <v>61332</v>
      </c>
      <c r="N9" s="4">
        <f t="shared" si="1"/>
        <v>51839</v>
      </c>
      <c r="O9" s="4">
        <f t="shared" si="1"/>
        <v>47495</v>
      </c>
      <c r="P9" s="4">
        <f>SUM(P10:P50)</f>
        <v>55595</v>
      </c>
      <c r="Q9" s="4">
        <f>SUM(Q10:Q90)</f>
        <v>51665</v>
      </c>
      <c r="R9" s="3"/>
      <c r="S9" s="3"/>
    </row>
    <row r="10" spans="1:20" x14ac:dyDescent="0.2">
      <c r="A10" s="29">
        <v>0</v>
      </c>
      <c r="B10" s="2" t="s">
        <v>28</v>
      </c>
      <c r="C10" s="2" t="s">
        <v>113</v>
      </c>
      <c r="D10" s="27">
        <v>10400</v>
      </c>
      <c r="E10" s="25">
        <f>ROUND(SUM(F10:Q10)/D4,0)</f>
        <v>10432</v>
      </c>
      <c r="F10" s="2">
        <v>10480</v>
      </c>
      <c r="G10" s="2">
        <f>10471</f>
        <v>10471</v>
      </c>
      <c r="H10" s="2">
        <v>10463</v>
      </c>
      <c r="I10" s="2">
        <v>10454</v>
      </c>
      <c r="J10" s="2">
        <v>10445</v>
      </c>
      <c r="K10" s="2">
        <v>10437</v>
      </c>
      <c r="L10" s="2">
        <v>10428</v>
      </c>
      <c r="M10" s="2">
        <v>10419</v>
      </c>
      <c r="N10" s="2">
        <v>10411</v>
      </c>
      <c r="O10" s="2">
        <v>10402</v>
      </c>
      <c r="P10" s="2">
        <v>10393</v>
      </c>
      <c r="Q10" s="2">
        <v>10385</v>
      </c>
    </row>
    <row r="11" spans="1:20" x14ac:dyDescent="0.2">
      <c r="A11" s="30">
        <v>0</v>
      </c>
      <c r="B11" s="2" t="s">
        <v>21</v>
      </c>
      <c r="C11" s="2" t="s">
        <v>113</v>
      </c>
      <c r="D11" s="27">
        <v>1400</v>
      </c>
      <c r="E11" s="25">
        <f>ROUND(SUM(F11:Q11)/D4,0)</f>
        <v>1306</v>
      </c>
      <c r="F11" s="2">
        <f>3634</f>
        <v>3634</v>
      </c>
      <c r="H11" s="2">
        <f>1234</f>
        <v>1234</v>
      </c>
      <c r="I11" s="2">
        <f>1067+1501</f>
        <v>2568</v>
      </c>
      <c r="J11" s="2">
        <f>1596</f>
        <v>1596</v>
      </c>
      <c r="L11" s="2">
        <f>2415+658</f>
        <v>3073</v>
      </c>
      <c r="N11" s="2">
        <f>1231</f>
        <v>1231</v>
      </c>
      <c r="O11" s="2">
        <f>781</f>
        <v>781</v>
      </c>
      <c r="P11" s="2">
        <f>1558</f>
        <v>1558</v>
      </c>
    </row>
    <row r="12" spans="1:20" x14ac:dyDescent="0.2">
      <c r="A12" s="30">
        <v>0</v>
      </c>
      <c r="B12" s="24" t="s">
        <v>20</v>
      </c>
      <c r="C12" s="2" t="s">
        <v>113</v>
      </c>
      <c r="D12" s="27">
        <v>500</v>
      </c>
      <c r="E12" s="25">
        <f>ROUND(SUM(F12:Q12)/D4,0)</f>
        <v>497</v>
      </c>
      <c r="F12" s="2">
        <f>856</f>
        <v>856</v>
      </c>
      <c r="G12" s="2">
        <f>360</f>
        <v>360</v>
      </c>
      <c r="H12" s="2">
        <f>140+525</f>
        <v>665</v>
      </c>
      <c r="I12" s="2">
        <f>150</f>
        <v>150</v>
      </c>
      <c r="J12" s="2">
        <f>187</f>
        <v>187</v>
      </c>
      <c r="K12" s="2">
        <f>488+571</f>
        <v>1059</v>
      </c>
      <c r="L12" s="2">
        <f>368</f>
        <v>368</v>
      </c>
      <c r="M12" s="2">
        <v>323</v>
      </c>
      <c r="N12" s="2">
        <f>564+313</f>
        <v>877</v>
      </c>
      <c r="O12" s="2">
        <f>298</f>
        <v>298</v>
      </c>
      <c r="P12" s="2">
        <f>375+254</f>
        <v>629</v>
      </c>
      <c r="Q12" s="2">
        <v>186</v>
      </c>
    </row>
    <row r="13" spans="1:20" x14ac:dyDescent="0.2">
      <c r="A13" s="29">
        <v>0</v>
      </c>
      <c r="B13" s="24" t="s">
        <v>78</v>
      </c>
      <c r="C13" s="2" t="s">
        <v>113</v>
      </c>
      <c r="D13" s="25">
        <v>330</v>
      </c>
      <c r="E13" s="25">
        <f>ROUND(SUM(F13:Q13)/D4,0)</f>
        <v>406</v>
      </c>
      <c r="G13" s="2">
        <f>987</f>
        <v>987</v>
      </c>
      <c r="J13" s="2">
        <f>987</f>
        <v>987</v>
      </c>
      <c r="M13" s="2">
        <v>1894</v>
      </c>
      <c r="P13" s="2">
        <v>1006</v>
      </c>
    </row>
    <row r="14" spans="1:20" x14ac:dyDescent="0.2">
      <c r="A14" s="30">
        <v>0</v>
      </c>
      <c r="B14" s="2" t="s">
        <v>70</v>
      </c>
      <c r="C14" s="2" t="s">
        <v>113</v>
      </c>
      <c r="D14" s="25">
        <v>100</v>
      </c>
      <c r="E14" s="25">
        <f>ROUND(SUM(F14:Q14)/D4,0)</f>
        <v>100</v>
      </c>
      <c r="F14" s="2">
        <v>123</v>
      </c>
      <c r="G14" s="2">
        <v>68</v>
      </c>
      <c r="H14" s="2">
        <v>156</v>
      </c>
      <c r="I14" s="2">
        <f>76</f>
        <v>76</v>
      </c>
      <c r="J14" s="2">
        <f>78</f>
        <v>78</v>
      </c>
      <c r="K14" s="2">
        <v>75</v>
      </c>
      <c r="L14" s="2">
        <v>95</v>
      </c>
      <c r="M14" s="2">
        <v>177</v>
      </c>
      <c r="N14" s="2">
        <f>68</f>
        <v>68</v>
      </c>
      <c r="O14" s="2">
        <v>96</v>
      </c>
      <c r="P14" s="2">
        <v>89</v>
      </c>
      <c r="Q14" s="2">
        <f>97</f>
        <v>97</v>
      </c>
    </row>
    <row r="15" spans="1:20" x14ac:dyDescent="0.2">
      <c r="A15" s="30">
        <v>200</v>
      </c>
      <c r="B15" s="2" t="s">
        <v>36</v>
      </c>
      <c r="C15" s="2" t="s">
        <v>113</v>
      </c>
      <c r="D15" s="27">
        <v>600</v>
      </c>
      <c r="E15" s="25">
        <f>ROUND(SUM(F15:Q15)/D4,0)</f>
        <v>575</v>
      </c>
      <c r="F15" s="2">
        <v>1383</v>
      </c>
      <c r="H15" s="2">
        <v>1464</v>
      </c>
      <c r="K15" s="2">
        <v>1327</v>
      </c>
      <c r="N15" s="2">
        <v>1385</v>
      </c>
      <c r="O15" s="2" t="s">
        <v>46</v>
      </c>
      <c r="Q15" s="2">
        <v>1336</v>
      </c>
      <c r="S15" s="2" t="s">
        <v>46</v>
      </c>
      <c r="T15" s="2">
        <f>(1385*4)/12</f>
        <v>461.66666666666669</v>
      </c>
    </row>
    <row r="16" spans="1:20" x14ac:dyDescent="0.2">
      <c r="A16" s="30">
        <v>200</v>
      </c>
      <c r="B16" s="24" t="s">
        <v>33</v>
      </c>
      <c r="C16" s="2" t="s">
        <v>113</v>
      </c>
      <c r="D16" s="27">
        <v>250</v>
      </c>
      <c r="E16" s="25">
        <f>ROUND(SUM(F16:Q16)/D4,0)</f>
        <v>300</v>
      </c>
      <c r="G16" s="2">
        <f>219</f>
        <v>219</v>
      </c>
      <c r="H16" s="2">
        <f>468</f>
        <v>468</v>
      </c>
      <c r="I16" s="2">
        <v>299</v>
      </c>
      <c r="K16" s="2">
        <v>468</v>
      </c>
      <c r="L16" s="2">
        <v>299</v>
      </c>
      <c r="N16" s="2">
        <v>468</v>
      </c>
      <c r="O16" s="2">
        <f>559+299</f>
        <v>858</v>
      </c>
      <c r="P16" s="2">
        <f>74</f>
        <v>74</v>
      </c>
      <c r="Q16" s="2">
        <f>444</f>
        <v>444</v>
      </c>
    </row>
    <row r="17" spans="1:19" x14ac:dyDescent="0.2">
      <c r="A17" s="30">
        <v>100</v>
      </c>
      <c r="B17" s="2" t="s">
        <v>22</v>
      </c>
      <c r="C17" s="2" t="s">
        <v>113</v>
      </c>
      <c r="D17" s="27">
        <v>170</v>
      </c>
      <c r="E17" s="25">
        <f>ROUND(SUM(F17:Q17)/D4,0)</f>
        <v>167</v>
      </c>
      <c r="H17" s="2">
        <f>499</f>
        <v>499</v>
      </c>
      <c r="K17" s="2">
        <v>499</v>
      </c>
      <c r="N17" s="2">
        <f>499</f>
        <v>499</v>
      </c>
      <c r="Q17" s="2">
        <v>509</v>
      </c>
      <c r="S17" s="2" t="s">
        <v>46</v>
      </c>
    </row>
    <row r="18" spans="1:19" x14ac:dyDescent="0.2">
      <c r="A18" s="30">
        <v>0</v>
      </c>
      <c r="B18" s="2" t="s">
        <v>23</v>
      </c>
      <c r="C18" s="2" t="s">
        <v>113</v>
      </c>
      <c r="D18" s="27">
        <v>367</v>
      </c>
      <c r="E18" s="25">
        <f>ROUND(SUM(F18:Q18)/D4,0)</f>
        <v>442</v>
      </c>
      <c r="N18" s="2">
        <f>4400</f>
        <v>4400</v>
      </c>
      <c r="P18" s="2">
        <f>902</f>
        <v>902</v>
      </c>
      <c r="S18" s="2" t="s">
        <v>46</v>
      </c>
    </row>
    <row r="19" spans="1:19" x14ac:dyDescent="0.2">
      <c r="A19" s="30">
        <v>0</v>
      </c>
      <c r="B19" s="2" t="s">
        <v>60</v>
      </c>
      <c r="C19" s="2" t="s">
        <v>113</v>
      </c>
      <c r="D19" s="27">
        <v>74</v>
      </c>
      <c r="E19" s="25">
        <f>ROUND(SUM(F19:Q19)/D4,0)</f>
        <v>0</v>
      </c>
      <c r="R19" s="2">
        <f>555+548</f>
        <v>1103</v>
      </c>
    </row>
    <row r="20" spans="1:19" x14ac:dyDescent="0.2">
      <c r="A20" s="30">
        <v>0</v>
      </c>
      <c r="B20" s="2" t="s">
        <v>50</v>
      </c>
      <c r="C20" s="2" t="s">
        <v>113</v>
      </c>
      <c r="D20" s="27">
        <v>174</v>
      </c>
      <c r="E20" s="25">
        <f>ROUND(SUM(F20:Q20)/D4,0)</f>
        <v>173</v>
      </c>
      <c r="M20" s="2">
        <f>2081</f>
        <v>2081</v>
      </c>
    </row>
    <row r="21" spans="1:19" x14ac:dyDescent="0.2">
      <c r="A21" s="30">
        <v>400</v>
      </c>
      <c r="B21" s="24" t="s">
        <v>34</v>
      </c>
      <c r="C21" s="2" t="s">
        <v>116</v>
      </c>
      <c r="D21" s="27">
        <v>219</v>
      </c>
      <c r="E21" s="25">
        <f>ROUND(SUM(F21:Q21)/D4,0)</f>
        <v>569</v>
      </c>
      <c r="F21" s="2">
        <f>269+345</f>
        <v>614</v>
      </c>
      <c r="G21" s="2">
        <f>269+345</f>
        <v>614</v>
      </c>
      <c r="H21" s="2">
        <f>269+345</f>
        <v>614</v>
      </c>
      <c r="I21" s="2">
        <f>345</f>
        <v>345</v>
      </c>
      <c r="J21" s="2">
        <f>269+345</f>
        <v>614</v>
      </c>
      <c r="K21" s="2">
        <f>345+538</f>
        <v>883</v>
      </c>
      <c r="L21" s="2">
        <f>345+269</f>
        <v>614</v>
      </c>
      <c r="M21" s="2">
        <f>345</f>
        <v>345</v>
      </c>
      <c r="N21" s="2">
        <f>345+488</f>
        <v>833</v>
      </c>
      <c r="O21" s="2">
        <f>345+219</f>
        <v>564</v>
      </c>
      <c r="P21" s="2">
        <f>345+219</f>
        <v>564</v>
      </c>
      <c r="Q21" s="2">
        <v>219</v>
      </c>
    </row>
    <row r="22" spans="1:19" x14ac:dyDescent="0.2">
      <c r="A22" s="30">
        <v>100</v>
      </c>
      <c r="B22" s="2" t="s">
        <v>25</v>
      </c>
      <c r="C22" s="2" t="s">
        <v>116</v>
      </c>
      <c r="D22" s="27">
        <v>260</v>
      </c>
      <c r="E22" s="25">
        <f>ROUND(SUM(F22:Q22)/D4,0)</f>
        <v>252</v>
      </c>
      <c r="N22" s="2">
        <f>295</f>
        <v>295</v>
      </c>
      <c r="O22" s="2">
        <f>1425+641</f>
        <v>2066</v>
      </c>
      <c r="P22" s="2">
        <v>663</v>
      </c>
      <c r="S22" s="2" t="s">
        <v>46</v>
      </c>
    </row>
    <row r="23" spans="1:19" x14ac:dyDescent="0.2">
      <c r="A23" s="30">
        <v>0</v>
      </c>
      <c r="B23" s="2" t="s">
        <v>52</v>
      </c>
      <c r="C23" s="2" t="s">
        <v>116</v>
      </c>
      <c r="D23" s="27">
        <v>1103</v>
      </c>
      <c r="E23" s="25">
        <f>ROUND(SUM(F23:Q23)/D4,0)</f>
        <v>1086</v>
      </c>
      <c r="F23" s="2">
        <v>1086</v>
      </c>
      <c r="G23" s="2">
        <v>1086</v>
      </c>
      <c r="H23" s="2">
        <v>1086</v>
      </c>
      <c r="I23" s="2">
        <v>1086</v>
      </c>
      <c r="J23" s="2">
        <v>1086</v>
      </c>
      <c r="K23" s="2">
        <v>1086</v>
      </c>
      <c r="L23" s="2">
        <v>1086</v>
      </c>
      <c r="M23" s="2">
        <v>1086</v>
      </c>
      <c r="N23" s="2">
        <v>1086</v>
      </c>
      <c r="O23" s="2">
        <v>1086</v>
      </c>
      <c r="P23" s="2">
        <v>1086</v>
      </c>
      <c r="Q23" s="2">
        <v>1086</v>
      </c>
      <c r="S23" s="2" t="s">
        <v>46</v>
      </c>
    </row>
    <row r="24" spans="1:19" x14ac:dyDescent="0.2">
      <c r="A24" s="30">
        <v>0</v>
      </c>
      <c r="B24" s="2" t="s">
        <v>61</v>
      </c>
      <c r="C24" s="2" t="s">
        <v>116</v>
      </c>
      <c r="D24" s="27">
        <v>36</v>
      </c>
      <c r="E24" s="25">
        <f>ROUND(SUM(F24:Q24)/D4,0)</f>
        <v>36</v>
      </c>
      <c r="L24" s="2">
        <v>430</v>
      </c>
      <c r="S24" s="2">
        <f>430/12</f>
        <v>35.833333333333336</v>
      </c>
    </row>
    <row r="25" spans="1:19" x14ac:dyDescent="0.2">
      <c r="A25" s="30">
        <v>0</v>
      </c>
      <c r="B25" s="2" t="s">
        <v>19</v>
      </c>
      <c r="C25" s="2" t="s">
        <v>114</v>
      </c>
      <c r="D25" s="27">
        <v>2500</v>
      </c>
      <c r="E25" s="25">
        <f>ROUND(SUM(F25:Q25)/D4,0)</f>
        <v>2492</v>
      </c>
      <c r="F25" s="2">
        <f>991+452+437</f>
        <v>1880</v>
      </c>
      <c r="G25" s="2">
        <f>1881</f>
        <v>1881</v>
      </c>
      <c r="H25" s="2">
        <f>3477</f>
        <v>3477</v>
      </c>
      <c r="I25" s="2">
        <f>2394</f>
        <v>2394</v>
      </c>
      <c r="J25" s="2">
        <f>2050+537</f>
        <v>2587</v>
      </c>
      <c r="K25" s="2">
        <f>2583+50</f>
        <v>2633</v>
      </c>
      <c r="L25" s="2">
        <f>66+2114</f>
        <v>2180</v>
      </c>
      <c r="M25" s="2">
        <f>1529</f>
        <v>1529</v>
      </c>
      <c r="N25" s="2">
        <f>35+2045</f>
        <v>2080</v>
      </c>
      <c r="O25" s="2">
        <f>2565</f>
        <v>2565</v>
      </c>
      <c r="P25" s="2">
        <f>3278+130</f>
        <v>3408</v>
      </c>
      <c r="Q25" s="2">
        <f>25+3262</f>
        <v>3287</v>
      </c>
    </row>
    <row r="26" spans="1:19" x14ac:dyDescent="0.2">
      <c r="A26" s="30">
        <v>0</v>
      </c>
      <c r="B26" s="2" t="s">
        <v>31</v>
      </c>
      <c r="C26" s="2" t="s">
        <v>114</v>
      </c>
      <c r="D26" s="27">
        <v>252</v>
      </c>
      <c r="E26" s="25">
        <f>ROUND(SUM(F26:Q26)/D4,0)</f>
        <v>251</v>
      </c>
      <c r="J26" s="2">
        <v>1487</v>
      </c>
      <c r="M26" s="2">
        <v>1520</v>
      </c>
      <c r="S26" s="2" t="s">
        <v>46</v>
      </c>
    </row>
    <row r="27" spans="1:19" x14ac:dyDescent="0.2">
      <c r="A27" s="30">
        <v>100</v>
      </c>
      <c r="B27" s="2" t="s">
        <v>35</v>
      </c>
      <c r="C27" s="2" t="s">
        <v>114</v>
      </c>
      <c r="D27" s="27">
        <v>880</v>
      </c>
      <c r="E27" s="25">
        <f>ROUND(SUM(F27:Q27)/D4,0)</f>
        <v>890</v>
      </c>
      <c r="K27" s="2">
        <v>5589</v>
      </c>
      <c r="O27" s="2">
        <f>4873</f>
        <v>4873</v>
      </c>
      <c r="P27" s="2">
        <f>220</f>
        <v>220</v>
      </c>
      <c r="S27" s="2">
        <f>(5589+4873) /12</f>
        <v>871.83333333333337</v>
      </c>
    </row>
    <row r="28" spans="1:19" x14ac:dyDescent="0.2">
      <c r="A28" s="30">
        <v>600</v>
      </c>
      <c r="B28" s="2" t="s">
        <v>54</v>
      </c>
      <c r="C28" s="2" t="s">
        <v>114</v>
      </c>
      <c r="D28" s="27">
        <v>1200</v>
      </c>
      <c r="E28" s="25">
        <f>ROUND(SUM(F28:Q28)/D4,0)</f>
        <v>1110</v>
      </c>
      <c r="G28" s="2">
        <v>5553</v>
      </c>
      <c r="K28" s="2">
        <v>4549</v>
      </c>
      <c r="L28" s="2">
        <f>191</f>
        <v>191</v>
      </c>
      <c r="O28" s="2">
        <v>3031</v>
      </c>
    </row>
    <row r="29" spans="1:19" x14ac:dyDescent="0.2">
      <c r="A29" s="30">
        <v>500</v>
      </c>
      <c r="B29" s="2" t="s">
        <v>65</v>
      </c>
      <c r="C29" s="2" t="s">
        <v>115</v>
      </c>
      <c r="D29" s="27">
        <v>1150</v>
      </c>
      <c r="E29" s="25">
        <f>ROUND(SUM(F29:Q29)/D4,0)</f>
        <v>563</v>
      </c>
      <c r="F29" s="2">
        <f>408</f>
        <v>408</v>
      </c>
      <c r="G29" s="2">
        <v>1000</v>
      </c>
      <c r="H29" s="2">
        <v>1050</v>
      </c>
      <c r="I29" s="2">
        <v>1050</v>
      </c>
      <c r="O29" s="2">
        <v>1050</v>
      </c>
      <c r="P29" s="2">
        <v>1050</v>
      </c>
      <c r="Q29" s="2">
        <v>1150</v>
      </c>
    </row>
    <row r="30" spans="1:19" x14ac:dyDescent="0.2">
      <c r="A30" s="30">
        <v>600</v>
      </c>
      <c r="B30" s="2" t="s">
        <v>74</v>
      </c>
      <c r="C30" s="2" t="s">
        <v>115</v>
      </c>
      <c r="D30" s="27">
        <v>700</v>
      </c>
      <c r="E30" s="25">
        <f>ROUND(SUM(F30:Q30)/D4,0)</f>
        <v>658</v>
      </c>
      <c r="G30" s="2">
        <v>1600</v>
      </c>
      <c r="I30" s="2">
        <v>3500</v>
      </c>
      <c r="K30" s="2">
        <v>800</v>
      </c>
      <c r="P30" s="2">
        <v>2000</v>
      </c>
    </row>
    <row r="31" spans="1:19" x14ac:dyDescent="0.2">
      <c r="A31" s="30">
        <v>0</v>
      </c>
      <c r="B31" s="2" t="s">
        <v>67</v>
      </c>
      <c r="C31" s="2" t="s">
        <v>115</v>
      </c>
      <c r="D31" s="27">
        <v>300</v>
      </c>
      <c r="E31" s="25">
        <f>ROUND(SUM(F31:Q31)/D4,0)</f>
        <v>17</v>
      </c>
      <c r="G31" s="2">
        <v>200</v>
      </c>
    </row>
    <row r="32" spans="1:19" x14ac:dyDescent="0.2">
      <c r="A32" s="30">
        <v>0</v>
      </c>
      <c r="B32" s="2" t="s">
        <v>68</v>
      </c>
      <c r="C32" s="2" t="s">
        <v>115</v>
      </c>
      <c r="D32" s="27">
        <v>200</v>
      </c>
      <c r="E32" s="25">
        <f>ROUND(SUM(F32:Q32)/D4,0)</f>
        <v>125</v>
      </c>
      <c r="P32" s="2">
        <v>1500</v>
      </c>
    </row>
    <row r="33" spans="1:254" x14ac:dyDescent="0.2">
      <c r="A33" s="30">
        <v>0</v>
      </c>
      <c r="B33" s="2" t="s">
        <v>69</v>
      </c>
      <c r="C33" s="2" t="s">
        <v>115</v>
      </c>
      <c r="D33" s="27">
        <v>350</v>
      </c>
      <c r="E33" s="25">
        <f>ROUND(SUM(F33:Q33)/D4,0)</f>
        <v>67</v>
      </c>
      <c r="G33" s="2">
        <f>700+100</f>
        <v>800</v>
      </c>
    </row>
    <row r="34" spans="1:254" x14ac:dyDescent="0.2">
      <c r="A34" s="30">
        <v>0</v>
      </c>
      <c r="B34" s="2" t="s">
        <v>71</v>
      </c>
      <c r="C34" s="2" t="s">
        <v>115</v>
      </c>
      <c r="D34" s="27">
        <v>157</v>
      </c>
      <c r="E34" s="25">
        <f>ROUND(SUM(F34:Q34)/D4,0)</f>
        <v>158</v>
      </c>
      <c r="L34" s="2">
        <v>1894</v>
      </c>
      <c r="S34" s="2">
        <f>1894/12</f>
        <v>157.83333333333334</v>
      </c>
    </row>
    <row r="35" spans="1:254" x14ac:dyDescent="0.2">
      <c r="A35" s="30">
        <v>0</v>
      </c>
      <c r="B35" s="2" t="s">
        <v>75</v>
      </c>
      <c r="C35" s="2" t="s">
        <v>115</v>
      </c>
      <c r="D35" s="27">
        <v>100</v>
      </c>
      <c r="E35" s="25">
        <v>0</v>
      </c>
    </row>
    <row r="36" spans="1:254" x14ac:dyDescent="0.2">
      <c r="A36" s="30">
        <v>0</v>
      </c>
      <c r="B36" s="2" t="s">
        <v>73</v>
      </c>
      <c r="C36" s="2" t="s">
        <v>115</v>
      </c>
      <c r="D36" s="27">
        <v>100</v>
      </c>
      <c r="E36" s="25">
        <f>ROUND(SUM(J36:Q36)/D14,0)</f>
        <v>0</v>
      </c>
    </row>
    <row r="37" spans="1:254" x14ac:dyDescent="0.2">
      <c r="A37" s="30"/>
      <c r="B37"/>
      <c r="C37" s="18" t="s">
        <v>46</v>
      </c>
      <c r="D37" s="26"/>
      <c r="E37" s="26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</row>
    <row r="38" spans="1:254" x14ac:dyDescent="0.2">
      <c r="A38" s="30">
        <v>200</v>
      </c>
      <c r="B38" s="4" t="s">
        <v>27</v>
      </c>
      <c r="C38" s="18" t="s">
        <v>27</v>
      </c>
      <c r="D38" s="27">
        <v>9600</v>
      </c>
      <c r="E38" s="25">
        <f>ROUND(SUM(F38:Q38)/D4,0)</f>
        <v>9626</v>
      </c>
      <c r="F38" s="2">
        <f>223+329+149+1186+248+306+152+154+140+259+147+550+208+98+300+132+1769+318+1260+130</f>
        <v>8058</v>
      </c>
      <c r="G38" s="2">
        <f>279+244+106+1754+695+158+194+110+118+312+1741+128+1914+30+600+241+132+460+396+78+344+451+96+400</f>
        <v>10981</v>
      </c>
      <c r="H38" s="2">
        <f>577+1705+172+127+1329+143+196+296+359+49+154+55+113+1408+180+1179+19+229+104+300+114+1347+85</f>
        <v>10240</v>
      </c>
      <c r="I38" s="2">
        <f>405+945+1677+478+762+295+122+348+1426+45+227+85+140+86+534+1769+202+58+1682+90+67+40+90+1415</f>
        <v>12988</v>
      </c>
      <c r="J38" s="2">
        <f>444+238+396+111+147+1040+51+370+1298+100+1321</f>
        <v>5516</v>
      </c>
      <c r="K38" s="2">
        <f>186+75+288+555+199+580+589+1085+1083+101+76+1377+453+48+82+1519+114+1973+122+635+141</f>
        <v>11281</v>
      </c>
      <c r="L38" s="2">
        <f>264+391+1253+100+648+98+310+594+114+306+560+472+1392+263+505</f>
        <v>7270</v>
      </c>
      <c r="M38" s="2">
        <v>9000</v>
      </c>
      <c r="N38" s="2">
        <f>349+475+94+86+92+161+204+268+1083+236+1253+58+111+1132+100+65+142+345+1647</f>
        <v>7901</v>
      </c>
      <c r="O38" s="2">
        <f>182+84+351+297+189+995+136+1132+181+130+1779+215+110+1510+338</f>
        <v>7629</v>
      </c>
      <c r="P38" s="2">
        <f>300+547+340+371+1726+212+473+370+132+329+166+479+221+580+260+379+320+194+1432+2287+114+489+1390+133+153</f>
        <v>13397</v>
      </c>
      <c r="Q38" s="2">
        <f>138+199+2859+1158+127+1030+227+310+1424+98+1451+884+267+397+66+618</f>
        <v>11253</v>
      </c>
    </row>
    <row r="39" spans="1:254" x14ac:dyDescent="0.2">
      <c r="A39" s="30"/>
      <c r="B39" s="4"/>
      <c r="C39"/>
    </row>
    <row r="40" spans="1:254" s="9" customFormat="1" x14ac:dyDescent="0.2">
      <c r="A40" s="31"/>
      <c r="B40" s="9" t="s">
        <v>121</v>
      </c>
      <c r="C40" s="9" t="s">
        <v>117</v>
      </c>
      <c r="D40" s="9">
        <v>8000</v>
      </c>
      <c r="E40" s="9">
        <f>ROUND(SUM(F40:Q40)/D4,0)</f>
        <v>14622</v>
      </c>
      <c r="F40" s="9">
        <f>21828-F38</f>
        <v>13770</v>
      </c>
      <c r="G40" s="9">
        <f>24802-G38</f>
        <v>13821</v>
      </c>
      <c r="H40" s="9">
        <f>19678-H38</f>
        <v>9438</v>
      </c>
      <c r="I40" s="9">
        <f>26287-I38</f>
        <v>13299</v>
      </c>
      <c r="J40" s="9">
        <f>21304-J38</f>
        <v>15788</v>
      </c>
      <c r="K40" s="9">
        <f>29981-K38-K28</f>
        <v>14151</v>
      </c>
      <c r="L40" s="9">
        <f>25680-L38-L28</f>
        <v>18219</v>
      </c>
      <c r="M40" s="9">
        <f>36146-M38-M28</f>
        <v>27146</v>
      </c>
      <c r="N40" s="9">
        <f>21868-N38-N28</f>
        <v>13967</v>
      </c>
      <c r="O40" s="9">
        <f>14525-O38</f>
        <v>6896</v>
      </c>
      <c r="P40" s="9">
        <f>57322-31769-P38</f>
        <v>12156</v>
      </c>
      <c r="Q40" s="9">
        <f>28066-Q38</f>
        <v>16813</v>
      </c>
    </row>
    <row r="41" spans="1:254" s="9" customFormat="1" x14ac:dyDescent="0.2">
      <c r="A41" s="31"/>
    </row>
    <row r="42" spans="1:254" s="11" customFormat="1" ht="13.5" customHeight="1" x14ac:dyDescent="0.2">
      <c r="A42" s="32"/>
      <c r="B42" s="11" t="s">
        <v>3</v>
      </c>
      <c r="D42" s="12" t="s">
        <v>46</v>
      </c>
      <c r="E42" s="13"/>
      <c r="L42" s="11">
        <v>475</v>
      </c>
      <c r="N42" s="11">
        <f>319*2</f>
        <v>638</v>
      </c>
    </row>
    <row r="43" spans="1:254" x14ac:dyDescent="0.2">
      <c r="B43" s="2" t="s">
        <v>38</v>
      </c>
      <c r="C43" s="2" t="s">
        <v>118</v>
      </c>
      <c r="D43" s="18">
        <v>0</v>
      </c>
      <c r="F43" s="2">
        <v>0</v>
      </c>
      <c r="I43" s="2">
        <v>0</v>
      </c>
      <c r="J43" s="2">
        <v>107</v>
      </c>
      <c r="K43" s="2">
        <f>619+449</f>
        <v>1068</v>
      </c>
      <c r="M43" s="2">
        <v>0</v>
      </c>
      <c r="O43" s="2">
        <v>400</v>
      </c>
      <c r="P43" s="2">
        <v>0</v>
      </c>
    </row>
    <row r="44" spans="1:254" x14ac:dyDescent="0.2">
      <c r="B44" s="11" t="s">
        <v>98</v>
      </c>
      <c r="D44" s="18"/>
      <c r="L44" s="2">
        <v>168</v>
      </c>
      <c r="M44" s="2">
        <f>912</f>
        <v>912</v>
      </c>
      <c r="N44" s="2">
        <v>800</v>
      </c>
    </row>
    <row r="45" spans="1:254" x14ac:dyDescent="0.2">
      <c r="B45" s="2" t="s">
        <v>97</v>
      </c>
      <c r="C45" s="2" t="s">
        <v>97</v>
      </c>
      <c r="D45" s="18">
        <f>4000+600+300</f>
        <v>4900</v>
      </c>
      <c r="E45" s="9">
        <f t="shared" ref="E45:N45" si="2">D45</f>
        <v>4900</v>
      </c>
      <c r="F45" s="9">
        <f t="shared" si="2"/>
        <v>4900</v>
      </c>
      <c r="G45" s="9">
        <f t="shared" si="2"/>
        <v>4900</v>
      </c>
      <c r="H45" s="9">
        <f t="shared" si="2"/>
        <v>4900</v>
      </c>
      <c r="I45" s="9">
        <f t="shared" si="2"/>
        <v>4900</v>
      </c>
      <c r="J45" s="9">
        <f t="shared" si="2"/>
        <v>4900</v>
      </c>
      <c r="K45" s="9">
        <f t="shared" si="2"/>
        <v>4900</v>
      </c>
      <c r="L45" s="9">
        <f t="shared" si="2"/>
        <v>4900</v>
      </c>
      <c r="M45" s="9">
        <f t="shared" si="2"/>
        <v>4900</v>
      </c>
      <c r="N45" s="9">
        <f t="shared" si="2"/>
        <v>4900</v>
      </c>
      <c r="O45" s="9">
        <v>4900</v>
      </c>
      <c r="P45" s="9">
        <f>O45</f>
        <v>4900</v>
      </c>
      <c r="Q45" s="9">
        <f>P45</f>
        <v>4900</v>
      </c>
    </row>
    <row r="46" spans="1:254" x14ac:dyDescent="0.2">
      <c r="B46" s="11" t="s">
        <v>40</v>
      </c>
      <c r="C46" s="11"/>
      <c r="D46" s="9">
        <f>SUM(D10:D45)</f>
        <v>46372</v>
      </c>
      <c r="E46" s="9">
        <f>SUM(E10:E43)</f>
        <v>46920</v>
      </c>
    </row>
    <row r="47" spans="1:254" x14ac:dyDescent="0.2">
      <c r="B47" s="2" t="s">
        <v>123</v>
      </c>
      <c r="D47" s="2">
        <f>D46-D40</f>
        <v>38372</v>
      </c>
    </row>
    <row r="48" spans="1:254" x14ac:dyDescent="0.2">
      <c r="B48" s="11" t="s">
        <v>46</v>
      </c>
      <c r="D48" s="2">
        <v>38010</v>
      </c>
      <c r="I48" s="2" t="s">
        <v>46</v>
      </c>
    </row>
    <row r="49" spans="2:16" x14ac:dyDescent="0.2">
      <c r="B49" s="11"/>
    </row>
    <row r="51" spans="2:16" x14ac:dyDescent="0.2">
      <c r="B51" s="11" t="s">
        <v>109</v>
      </c>
      <c r="C51" s="11"/>
      <c r="D51" s="9"/>
      <c r="E51" s="2">
        <f t="shared" ref="E51:P51" si="3">E38+E40</f>
        <v>24248</v>
      </c>
      <c r="F51" s="2">
        <f t="shared" si="3"/>
        <v>21828</v>
      </c>
      <c r="G51" s="2">
        <f t="shared" si="3"/>
        <v>24802</v>
      </c>
      <c r="H51" s="2">
        <f t="shared" si="3"/>
        <v>19678</v>
      </c>
      <c r="I51" s="2">
        <f t="shared" si="3"/>
        <v>26287</v>
      </c>
      <c r="J51" s="2">
        <f t="shared" si="3"/>
        <v>21304</v>
      </c>
      <c r="K51" s="2">
        <f t="shared" si="3"/>
        <v>25432</v>
      </c>
      <c r="L51" s="2">
        <f t="shared" si="3"/>
        <v>25489</v>
      </c>
      <c r="M51" s="2">
        <f t="shared" si="3"/>
        <v>36146</v>
      </c>
      <c r="N51" s="2">
        <f t="shared" si="3"/>
        <v>21868</v>
      </c>
      <c r="O51" s="2">
        <f t="shared" si="3"/>
        <v>14525</v>
      </c>
      <c r="P51" s="2">
        <f t="shared" si="3"/>
        <v>25553</v>
      </c>
    </row>
    <row r="52" spans="2:16" x14ac:dyDescent="0.2">
      <c r="B52" s="11" t="s">
        <v>110</v>
      </c>
      <c r="K52" s="14"/>
      <c r="L52" s="14"/>
      <c r="N52" s="2">
        <v>10000</v>
      </c>
      <c r="O52" s="2">
        <v>10000</v>
      </c>
    </row>
    <row r="53" spans="2:16" x14ac:dyDescent="0.2">
      <c r="B53" s="11" t="s">
        <v>112</v>
      </c>
      <c r="C53" s="11"/>
      <c r="H53" s="10"/>
      <c r="N53" s="2">
        <v>0</v>
      </c>
      <c r="O53" s="2">
        <v>5000</v>
      </c>
    </row>
    <row r="54" spans="2:16" x14ac:dyDescent="0.2">
      <c r="B54" s="11" t="s">
        <v>111</v>
      </c>
      <c r="C54" s="11"/>
      <c r="H54" s="10"/>
      <c r="N54" s="2">
        <v>0</v>
      </c>
    </row>
    <row r="55" spans="2:16" x14ac:dyDescent="0.2">
      <c r="B55" s="11" t="s">
        <v>26</v>
      </c>
      <c r="C55" s="11"/>
      <c r="N55" s="2">
        <f>SUM(N52:N54)</f>
        <v>10000</v>
      </c>
      <c r="O55" s="2">
        <f>SUM(O52:O54)</f>
        <v>15000</v>
      </c>
    </row>
    <row r="56" spans="2:16" x14ac:dyDescent="0.2">
      <c r="B56" s="11"/>
      <c r="C56" s="11"/>
    </row>
    <row r="57" spans="2:16" x14ac:dyDescent="0.2">
      <c r="M57" s="2" t="s">
        <v>46</v>
      </c>
    </row>
    <row r="58" spans="2:16" x14ac:dyDescent="0.2">
      <c r="B58" s="25" t="s">
        <v>125</v>
      </c>
      <c r="C58" s="2">
        <v>3000</v>
      </c>
    </row>
    <row r="59" spans="2:16" x14ac:dyDescent="0.2">
      <c r="B59" s="11" t="s">
        <v>124</v>
      </c>
      <c r="C59" s="2">
        <v>1400</v>
      </c>
    </row>
    <row r="60" spans="2:16" x14ac:dyDescent="0.2">
      <c r="B60" s="11" t="s">
        <v>147</v>
      </c>
      <c r="C60" s="2">
        <v>345</v>
      </c>
    </row>
    <row r="61" spans="2:16" x14ac:dyDescent="0.2">
      <c r="B61" s="11" t="s">
        <v>148</v>
      </c>
      <c r="C61" s="2">
        <v>1000</v>
      </c>
    </row>
    <row r="67" spans="2:4" x14ac:dyDescent="0.2">
      <c r="B67" s="11" t="s">
        <v>119</v>
      </c>
      <c r="C67" s="2" t="s">
        <v>131</v>
      </c>
      <c r="D67" s="2" t="s">
        <v>130</v>
      </c>
    </row>
    <row r="68" spans="2:4" x14ac:dyDescent="0.2">
      <c r="B68" s="2" t="s">
        <v>113</v>
      </c>
      <c r="C68" s="2">
        <f>SUM(D10:D20)</f>
        <v>14365</v>
      </c>
      <c r="D68" s="2">
        <f t="shared" ref="D68:D73" si="4">C68</f>
        <v>14365</v>
      </c>
    </row>
    <row r="69" spans="2:4" x14ac:dyDescent="0.2">
      <c r="B69" s="2" t="s">
        <v>120</v>
      </c>
      <c r="C69" s="2">
        <f>SUM(D21:D24)</f>
        <v>1618</v>
      </c>
      <c r="D69" s="2">
        <f t="shared" si="4"/>
        <v>1618</v>
      </c>
    </row>
    <row r="70" spans="2:4" x14ac:dyDescent="0.2">
      <c r="B70" s="2" t="s">
        <v>114</v>
      </c>
      <c r="C70" s="2">
        <f>SUM(D25:D28)</f>
        <v>4832</v>
      </c>
      <c r="D70" s="2">
        <f t="shared" si="4"/>
        <v>4832</v>
      </c>
    </row>
    <row r="71" spans="2:4" x14ac:dyDescent="0.2">
      <c r="B71" s="2" t="s">
        <v>115</v>
      </c>
      <c r="C71" s="2">
        <f>SUM(D29:D36)</f>
        <v>3057</v>
      </c>
      <c r="D71" s="2">
        <f t="shared" si="4"/>
        <v>3057</v>
      </c>
    </row>
    <row r="72" spans="2:4" x14ac:dyDescent="0.2">
      <c r="B72" s="2" t="s">
        <v>27</v>
      </c>
      <c r="C72" s="2">
        <f>D38</f>
        <v>9600</v>
      </c>
      <c r="D72" s="2">
        <f t="shared" si="4"/>
        <v>9600</v>
      </c>
    </row>
    <row r="73" spans="2:4" x14ac:dyDescent="0.2">
      <c r="B73" s="2" t="s">
        <v>127</v>
      </c>
      <c r="C73" s="2">
        <f>D45</f>
        <v>4900</v>
      </c>
      <c r="D73" s="2">
        <f t="shared" si="4"/>
        <v>4900</v>
      </c>
    </row>
    <row r="74" spans="2:4" x14ac:dyDescent="0.2">
      <c r="B74" s="2" t="s">
        <v>122</v>
      </c>
      <c r="C74" s="2">
        <f>D40</f>
        <v>8000</v>
      </c>
      <c r="D74" s="2">
        <v>8000</v>
      </c>
    </row>
    <row r="75" spans="2:4" x14ac:dyDescent="0.2">
      <c r="B75" s="2" t="s">
        <v>44</v>
      </c>
      <c r="C75" s="2">
        <f>SUM(C68:C74)</f>
        <v>46372</v>
      </c>
      <c r="D75" s="2">
        <f>SUM(D68:D74)</f>
        <v>46372</v>
      </c>
    </row>
    <row r="77" spans="2:4" x14ac:dyDescent="0.2">
      <c r="B77" s="2" t="s">
        <v>126</v>
      </c>
      <c r="C77" s="9">
        <v>49400</v>
      </c>
    </row>
    <row r="81" spans="1:11" x14ac:dyDescent="0.2">
      <c r="B81" s="2" t="s">
        <v>128</v>
      </c>
    </row>
    <row r="82" spans="1:11" x14ac:dyDescent="0.2">
      <c r="B82" s="2" t="s">
        <v>129</v>
      </c>
      <c r="C82" s="2">
        <f>45500</f>
        <v>45500</v>
      </c>
    </row>
    <row r="88" spans="1:11" x14ac:dyDescent="0.2">
      <c r="D88" s="2" t="s">
        <v>92</v>
      </c>
      <c r="E88" s="2" t="s">
        <v>93</v>
      </c>
    </row>
    <row r="89" spans="1:11" x14ac:dyDescent="0.2">
      <c r="B89" s="2" t="s">
        <v>90</v>
      </c>
      <c r="D89" s="2">
        <v>1248</v>
      </c>
      <c r="E89" s="2">
        <f>D89/12</f>
        <v>104</v>
      </c>
    </row>
    <row r="90" spans="1:11" x14ac:dyDescent="0.2">
      <c r="B90" s="2" t="s">
        <v>91</v>
      </c>
      <c r="D90" s="2">
        <v>1332</v>
      </c>
      <c r="E90" s="2">
        <f>D90/12</f>
        <v>111</v>
      </c>
    </row>
    <row r="91" spans="1:11" s="11" customFormat="1" x14ac:dyDescent="0.2">
      <c r="A91" s="32"/>
      <c r="B91" s="11" t="s">
        <v>94</v>
      </c>
      <c r="D91" s="11">
        <f>D89+D90</f>
        <v>2580</v>
      </c>
      <c r="E91" s="11">
        <f>E89+E90</f>
        <v>215</v>
      </c>
    </row>
    <row r="93" spans="1:11" x14ac:dyDescent="0.2">
      <c r="B93" s="4"/>
      <c r="C93" s="4"/>
    </row>
    <row r="94" spans="1:11" x14ac:dyDescent="0.2">
      <c r="K94" s="9"/>
    </row>
    <row r="95" spans="1:11" x14ac:dyDescent="0.2">
      <c r="D95" s="2" t="s">
        <v>92</v>
      </c>
      <c r="E95" s="2" t="s">
        <v>93</v>
      </c>
    </row>
    <row r="96" spans="1:11" x14ac:dyDescent="0.2">
      <c r="B96" s="2" t="s">
        <v>95</v>
      </c>
      <c r="D96" s="2">
        <f>E96*12</f>
        <v>4140</v>
      </c>
      <c r="E96" s="2">
        <v>345</v>
      </c>
    </row>
    <row r="97" spans="1:5" x14ac:dyDescent="0.2">
      <c r="B97" s="2" t="s">
        <v>96</v>
      </c>
      <c r="D97" s="2">
        <f>E97*12</f>
        <v>3228</v>
      </c>
      <c r="E97" s="2">
        <v>269</v>
      </c>
    </row>
    <row r="98" spans="1:5" s="11" customFormat="1" x14ac:dyDescent="0.2">
      <c r="A98" s="32"/>
      <c r="B98" s="11" t="s">
        <v>94</v>
      </c>
      <c r="D98" s="11">
        <f>D96+D97</f>
        <v>7368</v>
      </c>
      <c r="E98" s="11">
        <f>E96+E97</f>
        <v>614</v>
      </c>
    </row>
    <row r="104" spans="1:5" x14ac:dyDescent="0.2">
      <c r="B104" s="2" t="s">
        <v>99</v>
      </c>
      <c r="E104" s="2" t="s">
        <v>132</v>
      </c>
    </row>
    <row r="106" spans="1:5" x14ac:dyDescent="0.2">
      <c r="B106" s="2" t="s">
        <v>19</v>
      </c>
      <c r="C106" s="2">
        <f>D25</f>
        <v>2500</v>
      </c>
    </row>
    <row r="107" spans="1:5" x14ac:dyDescent="0.2">
      <c r="B107" s="2" t="s">
        <v>31</v>
      </c>
      <c r="C107" s="2">
        <f>D26</f>
        <v>252</v>
      </c>
    </row>
    <row r="108" spans="1:5" x14ac:dyDescent="0.2">
      <c r="B108" s="2" t="s">
        <v>35</v>
      </c>
      <c r="C108" s="2">
        <f>D27</f>
        <v>880</v>
      </c>
    </row>
    <row r="109" spans="1:5" x14ac:dyDescent="0.2">
      <c r="B109" s="2" t="s">
        <v>54</v>
      </c>
      <c r="C109" s="2">
        <f>D28</f>
        <v>1200</v>
      </c>
    </row>
    <row r="111" spans="1:5" x14ac:dyDescent="0.2">
      <c r="B111" s="2" t="s">
        <v>26</v>
      </c>
      <c r="C111" s="2">
        <f>SUM(C106:C109)</f>
        <v>4832</v>
      </c>
    </row>
    <row r="114" spans="1:7" x14ac:dyDescent="0.2">
      <c r="B114" s="2" t="s">
        <v>107</v>
      </c>
    </row>
    <row r="115" spans="1:7" x14ac:dyDescent="0.2">
      <c r="B115" s="2" t="s">
        <v>108</v>
      </c>
    </row>
    <row r="117" spans="1:7" s="11" customFormat="1" x14ac:dyDescent="0.2">
      <c r="A117" s="32"/>
      <c r="C117" s="11" t="s">
        <v>134</v>
      </c>
      <c r="D117" s="11" t="s">
        <v>135</v>
      </c>
      <c r="E117" s="11" t="s">
        <v>136</v>
      </c>
      <c r="F117" s="11" t="s">
        <v>137</v>
      </c>
      <c r="G117" s="11" t="s">
        <v>138</v>
      </c>
    </row>
    <row r="118" spans="1:7" x14ac:dyDescent="0.2">
      <c r="B118" s="2" t="s">
        <v>133</v>
      </c>
      <c r="C118" s="2" t="s">
        <v>149</v>
      </c>
      <c r="D118" s="2" t="s">
        <v>140</v>
      </c>
      <c r="E118" s="2" t="s">
        <v>149</v>
      </c>
      <c r="F118" s="2" t="s">
        <v>140</v>
      </c>
      <c r="G118" s="2" t="s">
        <v>140</v>
      </c>
    </row>
    <row r="119" spans="1:7" x14ac:dyDescent="0.2">
      <c r="B119" s="2" t="s">
        <v>139</v>
      </c>
      <c r="C119" s="2" t="s">
        <v>140</v>
      </c>
      <c r="D119" s="2" t="s">
        <v>149</v>
      </c>
      <c r="E119" s="2" t="s">
        <v>140</v>
      </c>
      <c r="F119" s="2" t="s">
        <v>149</v>
      </c>
      <c r="G119" s="2" t="s">
        <v>149</v>
      </c>
    </row>
    <row r="121" spans="1:7" x14ac:dyDescent="0.2">
      <c r="B121" s="2" t="s">
        <v>144</v>
      </c>
      <c r="C121" s="2">
        <v>700</v>
      </c>
    </row>
    <row r="122" spans="1:7" x14ac:dyDescent="0.2">
      <c r="B122" s="2" t="s">
        <v>141</v>
      </c>
      <c r="C122" s="2">
        <v>-1000</v>
      </c>
    </row>
    <row r="123" spans="1:7" x14ac:dyDescent="0.2">
      <c r="B123" s="2" t="s">
        <v>142</v>
      </c>
      <c r="C123" s="2">
        <v>-406</v>
      </c>
    </row>
    <row r="124" spans="1:7" x14ac:dyDescent="0.2">
      <c r="B124" s="2" t="s">
        <v>143</v>
      </c>
      <c r="C124" s="2">
        <v>-150</v>
      </c>
    </row>
    <row r="125" spans="1:7" x14ac:dyDescent="0.2">
      <c r="B125" s="2" t="s">
        <v>145</v>
      </c>
      <c r="C125" s="2">
        <v>-550</v>
      </c>
    </row>
    <row r="126" spans="1:7" s="11" customFormat="1" x14ac:dyDescent="0.2">
      <c r="A126" s="32"/>
      <c r="B126" s="11" t="s">
        <v>146</v>
      </c>
      <c r="C126" s="11">
        <f>SUM(C121:C125)</f>
        <v>-1406</v>
      </c>
    </row>
    <row r="129" spans="2:7" x14ac:dyDescent="0.2">
      <c r="B129" s="2" t="s">
        <v>104</v>
      </c>
      <c r="C129" s="2">
        <v>5</v>
      </c>
    </row>
    <row r="130" spans="2:7" x14ac:dyDescent="0.2">
      <c r="B130" s="2" t="s">
        <v>103</v>
      </c>
      <c r="C130" s="2">
        <v>0.06</v>
      </c>
    </row>
    <row r="131" spans="2:7" x14ac:dyDescent="0.2">
      <c r="B131" s="2" t="s">
        <v>100</v>
      </c>
      <c r="C131" s="2">
        <f>50000</f>
        <v>50000</v>
      </c>
      <c r="D131" s="2" t="s">
        <v>102</v>
      </c>
      <c r="E131" s="2" t="s">
        <v>105</v>
      </c>
      <c r="F131" s="2" t="s">
        <v>103</v>
      </c>
      <c r="G131" s="2" t="s">
        <v>44</v>
      </c>
    </row>
    <row r="132" spans="2:7" x14ac:dyDescent="0.2">
      <c r="B132" s="2" t="s">
        <v>101</v>
      </c>
      <c r="D132" s="2">
        <v>50000</v>
      </c>
      <c r="E132" s="2">
        <f>D132/C129/12</f>
        <v>833.33333333333337</v>
      </c>
      <c r="F132" s="2">
        <f>((D132*C130)/12)*0.7</f>
        <v>175</v>
      </c>
      <c r="G132" s="2">
        <f>E132+F132</f>
        <v>1008.3333333333334</v>
      </c>
    </row>
    <row r="133" spans="2:7" x14ac:dyDescent="0.2">
      <c r="B133" s="2" t="s">
        <v>106</v>
      </c>
      <c r="D133" s="2">
        <v>100000</v>
      </c>
      <c r="E133" s="2">
        <f>D133/C129/12</f>
        <v>1666.6666666666667</v>
      </c>
      <c r="F133" s="2">
        <f>((D133*C130)/12)*0.7</f>
        <v>350</v>
      </c>
      <c r="G133" s="2">
        <f>E133+F133</f>
        <v>2016.6666666666667</v>
      </c>
    </row>
  </sheetData>
  <phoneticPr fontId="0" type="noConversion"/>
  <pageMargins left="1.2597222222222222" right="1.2597222222222222" top="0.98472222222222228" bottom="0.98472222222222228" header="0.51180555555555551" footer="0.74791666666666667"/>
  <pageSetup paperSize="9" orientation="portrait" verticalDpi="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76"/>
  <sheetViews>
    <sheetView topLeftCell="A8" workbookViewId="0">
      <selection activeCell="C46" sqref="C46"/>
    </sheetView>
  </sheetViews>
  <sheetFormatPr defaultColWidth="10" defaultRowHeight="12.75" x14ac:dyDescent="0.2"/>
  <cols>
    <col min="1" max="1" width="21.85546875" style="2" customWidth="1"/>
    <col min="2" max="2" width="10" style="2" customWidth="1"/>
    <col min="3" max="5" width="9.140625" style="2" customWidth="1"/>
    <col min="6" max="16384" width="10" style="2"/>
  </cols>
  <sheetData>
    <row r="1" spans="1:18" x14ac:dyDescent="0.2">
      <c r="A1" s="2" t="s">
        <v>55</v>
      </c>
      <c r="E1" s="2" t="s">
        <v>46</v>
      </c>
      <c r="F1" s="2" t="s">
        <v>46</v>
      </c>
      <c r="L1" s="2" t="s">
        <v>46</v>
      </c>
    </row>
    <row r="2" spans="1:18" x14ac:dyDescent="0.2">
      <c r="A2" s="2" t="s">
        <v>53</v>
      </c>
      <c r="C2" s="2">
        <f>2974/12</f>
        <v>247.83333333333334</v>
      </c>
      <c r="E2" s="2" t="s">
        <v>46</v>
      </c>
      <c r="F2" s="23"/>
      <c r="I2" s="23"/>
      <c r="N2" s="2" t="s">
        <v>46</v>
      </c>
      <c r="O2" s="2" t="s">
        <v>46</v>
      </c>
    </row>
    <row r="3" spans="1:18" ht="17.25" customHeight="1" x14ac:dyDescent="0.2">
      <c r="B3" s="2">
        <f>2496/12</f>
        <v>208</v>
      </c>
      <c r="E3" s="19" t="s">
        <v>46</v>
      </c>
      <c r="G3" s="2" t="s">
        <v>46</v>
      </c>
      <c r="L3" s="17" t="s">
        <v>46</v>
      </c>
      <c r="M3" s="2" t="s">
        <v>46</v>
      </c>
      <c r="N3" s="2" t="s">
        <v>46</v>
      </c>
      <c r="O3" s="2" t="s">
        <v>46</v>
      </c>
    </row>
    <row r="4" spans="1:18" ht="17.25" customHeight="1" x14ac:dyDescent="0.2">
      <c r="A4" s="2" t="s">
        <v>51</v>
      </c>
      <c r="E4" s="8"/>
      <c r="J4" s="2">
        <f>37150*1.1</f>
        <v>40865</v>
      </c>
      <c r="L4" s="2" t="s">
        <v>46</v>
      </c>
      <c r="M4" s="2" t="s">
        <v>46</v>
      </c>
      <c r="N4" s="2" t="s">
        <v>46</v>
      </c>
      <c r="O4" s="2" t="s">
        <v>46</v>
      </c>
      <c r="P4" s="2" t="s">
        <v>46</v>
      </c>
    </row>
    <row r="5" spans="1:18" x14ac:dyDescent="0.2">
      <c r="A5" s="2" t="s">
        <v>18</v>
      </c>
      <c r="B5" s="2">
        <v>12</v>
      </c>
      <c r="F5" s="1"/>
      <c r="G5" s="1"/>
      <c r="I5" s="1"/>
      <c r="J5" s="1"/>
      <c r="K5" s="1"/>
      <c r="L5" s="1"/>
      <c r="M5" s="1"/>
      <c r="N5" s="1"/>
      <c r="O5" s="1"/>
    </row>
    <row r="6" spans="1:18" x14ac:dyDescent="0.2">
      <c r="A6" s="2" t="s">
        <v>79</v>
      </c>
      <c r="E6" s="2">
        <v>7000</v>
      </c>
      <c r="F6" s="1"/>
      <c r="G6" s="1"/>
      <c r="I6" s="1"/>
      <c r="J6" s="1"/>
      <c r="K6" s="1"/>
      <c r="L6" s="1"/>
      <c r="M6" s="1"/>
      <c r="N6" s="1"/>
      <c r="O6" s="1"/>
    </row>
    <row r="7" spans="1:18" x14ac:dyDescent="0.2">
      <c r="A7" s="2" t="s">
        <v>29</v>
      </c>
      <c r="C7" s="2">
        <f>ROUND(SUM(E7:P7)/B5,0)</f>
        <v>49642</v>
      </c>
      <c r="E7" s="2">
        <f>29382+17347+2200</f>
        <v>48929</v>
      </c>
      <c r="F7" s="2">
        <f>29068+16511+2200</f>
        <v>47779</v>
      </c>
      <c r="G7" s="2">
        <f>36918+20202+2200</f>
        <v>59320</v>
      </c>
      <c r="H7" s="2">
        <f>25335+18302+2200</f>
        <v>45837</v>
      </c>
      <c r="I7" s="2">
        <f>25187+18302+2200</f>
        <v>45689</v>
      </c>
      <c r="J7" s="2">
        <f>29114+21463+2200</f>
        <v>52777</v>
      </c>
      <c r="K7" s="2">
        <f>36536+19886+2200</f>
        <v>58622</v>
      </c>
      <c r="L7" s="2">
        <f>26319+18667+2200</f>
        <v>47186</v>
      </c>
      <c r="M7" s="2">
        <f>26319+18667+2200</f>
        <v>47186</v>
      </c>
      <c r="N7" s="2">
        <f>27139+18667+2200</f>
        <v>48006</v>
      </c>
      <c r="O7" s="2">
        <f>26319+18667+2200</f>
        <v>47186</v>
      </c>
      <c r="P7" s="2">
        <f>26319+18667+2200</f>
        <v>47186</v>
      </c>
    </row>
    <row r="8" spans="1:18" x14ac:dyDescent="0.2">
      <c r="A8" s="2" t="s">
        <v>32</v>
      </c>
      <c r="D8" s="9">
        <f>SUM(E8:P8)</f>
        <v>4391</v>
      </c>
      <c r="E8" s="2">
        <f>E7-E10</f>
        <v>9621</v>
      </c>
      <c r="F8" s="2">
        <f>F7-F10</f>
        <v>18657</v>
      </c>
      <c r="G8" s="2">
        <f>G7-G10</f>
        <v>17286</v>
      </c>
      <c r="H8" s="2">
        <f>H7-H10</f>
        <v>9850</v>
      </c>
      <c r="I8" s="2">
        <f>I7-I10</f>
        <v>-3060</v>
      </c>
      <c r="J8" s="2">
        <f t="shared" ref="J8:P8" si="0">J7-J10</f>
        <v>-2098</v>
      </c>
      <c r="K8" s="2">
        <f t="shared" si="0"/>
        <v>8144</v>
      </c>
      <c r="L8" s="2">
        <f t="shared" si="0"/>
        <v>-14829</v>
      </c>
      <c r="M8" s="2">
        <f t="shared" si="0"/>
        <v>7717</v>
      </c>
      <c r="N8" s="2">
        <f t="shared" si="0"/>
        <v>-38412</v>
      </c>
      <c r="O8" s="2">
        <f t="shared" si="0"/>
        <v>-12389</v>
      </c>
      <c r="P8" s="2">
        <f t="shared" si="0"/>
        <v>3904</v>
      </c>
    </row>
    <row r="9" spans="1:18" x14ac:dyDescent="0.2">
      <c r="A9" s="3" t="s">
        <v>0</v>
      </c>
      <c r="B9" s="4" t="s">
        <v>1</v>
      </c>
      <c r="C9" s="7" t="s">
        <v>5</v>
      </c>
      <c r="D9" s="4" t="s">
        <v>2</v>
      </c>
      <c r="E9" s="5" t="s">
        <v>6</v>
      </c>
      <c r="F9" s="5" t="s">
        <v>7</v>
      </c>
      <c r="G9" s="4" t="s">
        <v>8</v>
      </c>
      <c r="H9" s="5" t="s">
        <v>9</v>
      </c>
      <c r="I9" s="5" t="s">
        <v>10</v>
      </c>
      <c r="J9" s="5" t="s">
        <v>11</v>
      </c>
      <c r="K9" s="5" t="s">
        <v>12</v>
      </c>
      <c r="L9" s="5" t="s">
        <v>13</v>
      </c>
      <c r="M9" s="5" t="s">
        <v>14</v>
      </c>
      <c r="N9" s="5" t="s">
        <v>15</v>
      </c>
      <c r="O9" s="5" t="s">
        <v>16</v>
      </c>
      <c r="P9" s="5" t="s">
        <v>17</v>
      </c>
      <c r="Q9" s="3"/>
      <c r="R9" s="3"/>
    </row>
    <row r="10" spans="1:18" x14ac:dyDescent="0.2">
      <c r="A10" s="3" t="s">
        <v>26</v>
      </c>
      <c r="B10" s="4"/>
      <c r="C10" s="2">
        <f>ROUND(SUM(E10:P10)/B5,0)</f>
        <v>49276</v>
      </c>
      <c r="D10" s="4"/>
      <c r="E10" s="4">
        <f>SUM(E11:E67)</f>
        <v>39308</v>
      </c>
      <c r="F10" s="4">
        <f>SUM(F11:F67)</f>
        <v>29122</v>
      </c>
      <c r="G10" s="4">
        <f t="shared" ref="G10:P10" si="1">SUM(G11:G67)</f>
        <v>42034</v>
      </c>
      <c r="H10" s="4">
        <f t="shared" si="1"/>
        <v>35987</v>
      </c>
      <c r="I10" s="4">
        <f t="shared" si="1"/>
        <v>48749</v>
      </c>
      <c r="J10" s="4">
        <f t="shared" si="1"/>
        <v>54875</v>
      </c>
      <c r="K10" s="4">
        <f t="shared" si="1"/>
        <v>50478</v>
      </c>
      <c r="L10" s="4">
        <f t="shared" si="1"/>
        <v>62015</v>
      </c>
      <c r="M10" s="4">
        <f t="shared" si="1"/>
        <v>39469</v>
      </c>
      <c r="N10" s="4">
        <f t="shared" si="1"/>
        <v>86418</v>
      </c>
      <c r="O10" s="4">
        <f t="shared" si="1"/>
        <v>59575</v>
      </c>
      <c r="P10" s="4">
        <f t="shared" si="1"/>
        <v>43282</v>
      </c>
      <c r="Q10" s="3"/>
      <c r="R10" s="3"/>
    </row>
    <row r="11" spans="1:18" x14ac:dyDescent="0.2">
      <c r="A11" s="2" t="s">
        <v>28</v>
      </c>
      <c r="B11" s="20">
        <v>10743</v>
      </c>
      <c r="C11" s="2">
        <f>ROUND(SUM(E11:P11)/B5,0)</f>
        <v>10574</v>
      </c>
      <c r="D11" s="2" t="s">
        <v>46</v>
      </c>
      <c r="E11" s="2">
        <v>10732</v>
      </c>
      <c r="F11" s="2">
        <v>10724</v>
      </c>
      <c r="G11" s="2">
        <v>10716</v>
      </c>
      <c r="H11" s="2">
        <v>10558</v>
      </c>
      <c r="I11" s="2">
        <v>10550</v>
      </c>
      <c r="J11" s="2">
        <v>10541</v>
      </c>
      <c r="K11" s="2">
        <f>10532</f>
        <v>10532</v>
      </c>
      <c r="L11" s="2">
        <v>10524</v>
      </c>
      <c r="M11" s="2">
        <v>10515</v>
      </c>
      <c r="N11" s="2">
        <v>10506</v>
      </c>
      <c r="O11" s="2">
        <v>10497</v>
      </c>
      <c r="P11" s="2">
        <v>10489</v>
      </c>
    </row>
    <row r="12" spans="1:18" x14ac:dyDescent="0.2">
      <c r="A12" s="2" t="s">
        <v>21</v>
      </c>
      <c r="B12" s="18">
        <v>2000</v>
      </c>
      <c r="C12" s="2">
        <f>ROUND(SUM(E12:P12)/B5,0)</f>
        <v>2021</v>
      </c>
      <c r="E12" s="2">
        <f>3637+899</f>
        <v>4536</v>
      </c>
      <c r="G12" s="2">
        <f>3490+1103</f>
        <v>4593</v>
      </c>
      <c r="I12" s="2">
        <f>1971+962</f>
        <v>2933</v>
      </c>
      <c r="J12" s="2">
        <f>1061+1067</f>
        <v>2128</v>
      </c>
      <c r="L12" s="2">
        <f>553</f>
        <v>553</v>
      </c>
      <c r="M12" s="2">
        <f>3819</f>
        <v>3819</v>
      </c>
      <c r="O12" s="2">
        <f>802+2640</f>
        <v>3442</v>
      </c>
      <c r="P12" s="2">
        <f>1142+1106</f>
        <v>2248</v>
      </c>
    </row>
    <row r="13" spans="1:18" x14ac:dyDescent="0.2">
      <c r="A13" s="2" t="s">
        <v>20</v>
      </c>
      <c r="B13" s="18">
        <v>700</v>
      </c>
      <c r="C13" s="2">
        <f>ROUND(SUM(E13:P13)/B5,0)</f>
        <v>701</v>
      </c>
      <c r="E13" s="2">
        <f>213</f>
        <v>213</v>
      </c>
      <c r="F13" s="2">
        <f>1314+238</f>
        <v>1552</v>
      </c>
      <c r="G13" s="2">
        <f>170</f>
        <v>170</v>
      </c>
      <c r="H13" s="2">
        <f>147</f>
        <v>147</v>
      </c>
      <c r="I13" s="2">
        <f>206</f>
        <v>206</v>
      </c>
      <c r="J13" s="2">
        <f>858+224</f>
        <v>1082</v>
      </c>
      <c r="K13" s="2">
        <f>858+111</f>
        <v>969</v>
      </c>
      <c r="L13" s="2">
        <f>525+270</f>
        <v>795</v>
      </c>
      <c r="M13" s="2">
        <f>299</f>
        <v>299</v>
      </c>
      <c r="N13" s="2">
        <f>975</f>
        <v>975</v>
      </c>
      <c r="O13" s="2">
        <f>987+398</f>
        <v>1385</v>
      </c>
      <c r="P13" s="2">
        <f>240+375</f>
        <v>615</v>
      </c>
    </row>
    <row r="14" spans="1:18" x14ac:dyDescent="0.2">
      <c r="A14" s="2" t="s">
        <v>89</v>
      </c>
      <c r="B14" s="20">
        <v>0</v>
      </c>
    </row>
    <row r="15" spans="1:18" x14ac:dyDescent="0.2">
      <c r="A15" s="2" t="s">
        <v>78</v>
      </c>
      <c r="B15" s="18">
        <v>320</v>
      </c>
      <c r="C15" s="2">
        <f>ROUND(SUM(E15:P15)/B5,0)</f>
        <v>229</v>
      </c>
      <c r="F15" s="2">
        <v>773</v>
      </c>
      <c r="I15" s="2">
        <f>987</f>
        <v>987</v>
      </c>
      <c r="L15" s="2">
        <v>987</v>
      </c>
    </row>
    <row r="16" spans="1:18" x14ac:dyDescent="0.2">
      <c r="A16" s="2" t="s">
        <v>70</v>
      </c>
      <c r="B16" s="18">
        <v>200</v>
      </c>
      <c r="C16" s="2">
        <f>ROUND(SUM(E16:P16)/B5,0)</f>
        <v>0</v>
      </c>
    </row>
    <row r="17" spans="1:16" x14ac:dyDescent="0.2">
      <c r="A17" s="2" t="s">
        <v>36</v>
      </c>
      <c r="B17" s="18">
        <v>400</v>
      </c>
      <c r="C17" s="2">
        <f>ROUND(SUM(E17:P17)/B5,0)</f>
        <v>307</v>
      </c>
      <c r="D17" s="6"/>
      <c r="G17" s="2">
        <f>1388</f>
        <v>1388</v>
      </c>
      <c r="J17" s="2">
        <f>1003</f>
        <v>1003</v>
      </c>
      <c r="M17" s="2">
        <v>1298</v>
      </c>
    </row>
    <row r="18" spans="1:16" x14ac:dyDescent="0.2">
      <c r="A18" s="2" t="s">
        <v>33</v>
      </c>
      <c r="B18" s="18">
        <v>189</v>
      </c>
      <c r="C18" s="2">
        <f>ROUND(SUM(E18:P18)/B5,0)</f>
        <v>124</v>
      </c>
      <c r="J18" s="2">
        <f>488</f>
        <v>488</v>
      </c>
      <c r="O18" s="2">
        <v>405</v>
      </c>
      <c r="P18" s="2">
        <f>598</f>
        <v>598</v>
      </c>
    </row>
    <row r="19" spans="1:16" x14ac:dyDescent="0.2">
      <c r="A19" s="2" t="s">
        <v>22</v>
      </c>
      <c r="B19" s="18">
        <f>483/3</f>
        <v>161</v>
      </c>
      <c r="C19" s="2">
        <f>ROUND(SUM(E19:P19)/B5,0)</f>
        <v>165</v>
      </c>
      <c r="G19" s="2">
        <f>492</f>
        <v>492</v>
      </c>
      <c r="J19" s="2">
        <f>492</f>
        <v>492</v>
      </c>
      <c r="M19" s="2">
        <v>492</v>
      </c>
      <c r="P19" s="2">
        <f>499</f>
        <v>499</v>
      </c>
    </row>
    <row r="20" spans="1:16" x14ac:dyDescent="0.2">
      <c r="A20" s="2" t="s">
        <v>23</v>
      </c>
      <c r="B20" s="18">
        <v>392</v>
      </c>
      <c r="C20" s="2">
        <f>ROUND(SUM(E20:P20)/B5,0)</f>
        <v>408</v>
      </c>
      <c r="L20" s="2">
        <f>4671</f>
        <v>4671</v>
      </c>
      <c r="O20" s="2">
        <f>220</f>
        <v>220</v>
      </c>
    </row>
    <row r="21" spans="1:16" x14ac:dyDescent="0.2">
      <c r="A21" s="2" t="s">
        <v>60</v>
      </c>
      <c r="B21" s="18">
        <v>0</v>
      </c>
      <c r="C21" s="2">
        <f>ROUND(SUM(E21:P21)/B5,0)</f>
        <v>73</v>
      </c>
      <c r="O21" s="2">
        <f>877</f>
        <v>877</v>
      </c>
    </row>
    <row r="22" spans="1:16" x14ac:dyDescent="0.2">
      <c r="A22" s="2" t="s">
        <v>34</v>
      </c>
      <c r="B22" s="18">
        <v>215</v>
      </c>
      <c r="C22" s="2">
        <f>ROUND(SUM(I22:P22)/B5,0)</f>
        <v>0</v>
      </c>
      <c r="E22" s="2">
        <f>1332</f>
        <v>1332</v>
      </c>
      <c r="G22" s="2">
        <v>1248</v>
      </c>
    </row>
    <row r="23" spans="1:16" x14ac:dyDescent="0.2">
      <c r="A23" s="14" t="s">
        <v>25</v>
      </c>
      <c r="B23" s="18">
        <f>85+40+40+28</f>
        <v>193</v>
      </c>
      <c r="C23" s="2">
        <f>ROUND(SUM(E23:P23)/B5,0)</f>
        <v>237</v>
      </c>
      <c r="M23" s="2">
        <f>276</f>
        <v>276</v>
      </c>
      <c r="N23" s="2">
        <f>52+590+1311</f>
        <v>1953</v>
      </c>
      <c r="O23" s="2">
        <f>620</f>
        <v>620</v>
      </c>
    </row>
    <row r="24" spans="1:16" x14ac:dyDescent="0.2">
      <c r="A24" s="2" t="s">
        <v>50</v>
      </c>
      <c r="B24" s="18">
        <v>166</v>
      </c>
      <c r="C24" s="2">
        <f>ROUND(SUM(E24:P24)/B5,0)</f>
        <v>169</v>
      </c>
      <c r="L24" s="2">
        <f>2030</f>
        <v>2030</v>
      </c>
    </row>
    <row r="25" spans="1:16" x14ac:dyDescent="0.2">
      <c r="A25" s="2" t="s">
        <v>52</v>
      </c>
      <c r="B25" s="18">
        <f>1086</f>
        <v>1086</v>
      </c>
      <c r="C25" s="2">
        <f>ROUND(SUM(E25:P25)/B5,0)</f>
        <v>1091</v>
      </c>
      <c r="E25" s="2">
        <f t="shared" ref="E25:M25" si="2">547+544</f>
        <v>1091</v>
      </c>
      <c r="F25" s="2">
        <f t="shared" si="2"/>
        <v>1091</v>
      </c>
      <c r="G25" s="2">
        <f t="shared" si="2"/>
        <v>1091</v>
      </c>
      <c r="H25" s="2">
        <f t="shared" si="2"/>
        <v>1091</v>
      </c>
      <c r="I25" s="2">
        <f t="shared" si="2"/>
        <v>1091</v>
      </c>
      <c r="J25" s="2">
        <f t="shared" si="2"/>
        <v>1091</v>
      </c>
      <c r="K25" s="2">
        <f t="shared" si="2"/>
        <v>1091</v>
      </c>
      <c r="L25" s="2">
        <f t="shared" si="2"/>
        <v>1091</v>
      </c>
      <c r="M25" s="2">
        <f t="shared" si="2"/>
        <v>1091</v>
      </c>
      <c r="N25" s="2">
        <v>1091</v>
      </c>
      <c r="O25" s="2">
        <v>1091</v>
      </c>
      <c r="P25" s="2">
        <v>1091</v>
      </c>
    </row>
    <row r="26" spans="1:16" x14ac:dyDescent="0.2">
      <c r="A26" s="2" t="s">
        <v>61</v>
      </c>
      <c r="B26" s="18">
        <v>28</v>
      </c>
      <c r="C26" s="2">
        <f>ROUND(SUM(I26:P26)/B5,0)</f>
        <v>29</v>
      </c>
      <c r="H26" s="2">
        <f>375</f>
        <v>375</v>
      </c>
      <c r="L26" s="2">
        <f>353</f>
        <v>353</v>
      </c>
    </row>
    <row r="27" spans="1:16" x14ac:dyDescent="0.2">
      <c r="A27" s="2" t="s">
        <v>19</v>
      </c>
      <c r="B27" s="18">
        <v>2600</v>
      </c>
      <c r="C27" s="2">
        <f>ROUND(SUM(E27:P27)/B5,0)</f>
        <v>3447</v>
      </c>
      <c r="E27" s="2">
        <f>2133+41</f>
        <v>2174</v>
      </c>
      <c r="F27" s="2">
        <f>3120+525</f>
        <v>3645</v>
      </c>
      <c r="G27" s="2">
        <f>525+2916</f>
        <v>3441</v>
      </c>
      <c r="H27" s="2">
        <f>525+2513</f>
        <v>3038</v>
      </c>
      <c r="I27" s="2">
        <f>1674+1049</f>
        <v>2723</v>
      </c>
      <c r="J27" s="2">
        <f>3250</f>
        <v>3250</v>
      </c>
      <c r="K27" s="2">
        <f>1590</f>
        <v>1590</v>
      </c>
      <c r="L27" s="2">
        <f>1612</f>
        <v>1612</v>
      </c>
      <c r="M27" s="2">
        <f>2495</f>
        <v>2495</v>
      </c>
      <c r="N27" s="2">
        <f>2566+10000</f>
        <v>12566</v>
      </c>
      <c r="O27" s="2">
        <f>1992</f>
        <v>1992</v>
      </c>
      <c r="P27" s="2">
        <f>2426+408</f>
        <v>2834</v>
      </c>
    </row>
    <row r="28" spans="1:16" x14ac:dyDescent="0.2">
      <c r="A28" s="2" t="s">
        <v>31</v>
      </c>
      <c r="B28" s="18">
        <v>248</v>
      </c>
      <c r="C28" s="2">
        <f>ROUND(SUM(E28:P28)/B5,0)</f>
        <v>250</v>
      </c>
      <c r="I28" s="2">
        <f>1487</f>
        <v>1487</v>
      </c>
      <c r="L28" s="2">
        <f>1517</f>
        <v>1517</v>
      </c>
    </row>
    <row r="29" spans="1:16" x14ac:dyDescent="0.2">
      <c r="A29" s="2" t="s">
        <v>35</v>
      </c>
      <c r="B29" s="18">
        <f>ROUND((2796+3974)/12,0)</f>
        <v>564</v>
      </c>
      <c r="C29" s="2">
        <f>ROUND(SUM(E29:P29)/B5,0)</f>
        <v>757</v>
      </c>
      <c r="E29" s="2">
        <f>195</f>
        <v>195</v>
      </c>
      <c r="I29" s="2">
        <f>4800</f>
        <v>4800</v>
      </c>
      <c r="N29" s="2">
        <f>4086</f>
        <v>4086</v>
      </c>
    </row>
    <row r="30" spans="1:16" x14ac:dyDescent="0.2">
      <c r="A30" s="2" t="s">
        <v>54</v>
      </c>
      <c r="B30" s="18">
        <v>1000</v>
      </c>
      <c r="C30" s="2">
        <f>ROUND(SUM(E30:P30)/B5,0)</f>
        <v>750</v>
      </c>
      <c r="K30" s="2">
        <f>775</f>
        <v>775</v>
      </c>
      <c r="L30" s="2">
        <f>386</f>
        <v>386</v>
      </c>
      <c r="M30" s="2">
        <f>1152</f>
        <v>1152</v>
      </c>
      <c r="O30" s="2">
        <f>6684</f>
        <v>6684</v>
      </c>
    </row>
    <row r="31" spans="1:16" x14ac:dyDescent="0.2">
      <c r="A31" s="2" t="s">
        <v>65</v>
      </c>
      <c r="B31" s="18">
        <v>408</v>
      </c>
      <c r="C31" s="2">
        <f>ROUND(SUM(E31:P31)/B5,0)</f>
        <v>439</v>
      </c>
      <c r="E31" s="2">
        <v>408</v>
      </c>
      <c r="F31" s="2">
        <v>408</v>
      </c>
      <c r="G31" s="2">
        <v>408</v>
      </c>
      <c r="H31" s="2">
        <v>408</v>
      </c>
      <c r="I31" s="2">
        <v>408</v>
      </c>
      <c r="J31" s="2">
        <v>408</v>
      </c>
      <c r="K31" s="2">
        <v>408</v>
      </c>
      <c r="L31" s="2">
        <v>408</v>
      </c>
      <c r="M31" s="2">
        <v>780</v>
      </c>
      <c r="N31" s="2">
        <v>408</v>
      </c>
      <c r="O31" s="2">
        <v>408</v>
      </c>
      <c r="P31" s="2">
        <v>408</v>
      </c>
    </row>
    <row r="32" spans="1:16" x14ac:dyDescent="0.2">
      <c r="A32" s="2" t="s">
        <v>66</v>
      </c>
      <c r="B32" s="18">
        <f>372/12</f>
        <v>31</v>
      </c>
      <c r="C32" s="2">
        <f>ROUND(SUM(E32:P32)/B5,0)</f>
        <v>0</v>
      </c>
    </row>
    <row r="33" spans="1:255" x14ac:dyDescent="0.2">
      <c r="A33" s="2" t="s">
        <v>67</v>
      </c>
      <c r="B33" s="18">
        <v>500</v>
      </c>
      <c r="C33" s="2">
        <f>ROUND(SUM(E33:P33)/B5,0)</f>
        <v>0</v>
      </c>
    </row>
    <row r="34" spans="1:255" x14ac:dyDescent="0.2">
      <c r="A34" s="2" t="s">
        <v>68</v>
      </c>
      <c r="B34" s="18">
        <v>200</v>
      </c>
      <c r="C34" s="2">
        <f>ROUND(SUM(E34:P34)/B5,0)</f>
        <v>0</v>
      </c>
    </row>
    <row r="35" spans="1:255" x14ac:dyDescent="0.2">
      <c r="A35" s="2" t="s">
        <v>74</v>
      </c>
      <c r="B35" s="18"/>
      <c r="C35" s="2">
        <f>ROUND(SUM(E35:P35)/B5,0)</f>
        <v>0</v>
      </c>
    </row>
    <row r="36" spans="1:255" x14ac:dyDescent="0.2">
      <c r="A36" s="2" t="s">
        <v>69</v>
      </c>
      <c r="B36" s="18">
        <v>350</v>
      </c>
      <c r="C36" s="2">
        <f>ROUND(SUM(E36:P36)/B5,0)</f>
        <v>0</v>
      </c>
    </row>
    <row r="37" spans="1:255" x14ac:dyDescent="0.2">
      <c r="A37" s="2" t="s">
        <v>71</v>
      </c>
      <c r="B37" s="18">
        <v>170</v>
      </c>
      <c r="C37" s="2">
        <f>ROUND(SUM(E37:P37)/B5,0)</f>
        <v>160</v>
      </c>
      <c r="L37" s="2">
        <f>1921</f>
        <v>1921</v>
      </c>
    </row>
    <row r="38" spans="1:255" x14ac:dyDescent="0.2">
      <c r="A38" s="2" t="s">
        <v>75</v>
      </c>
      <c r="B38" s="18">
        <v>0</v>
      </c>
      <c r="C38" s="2">
        <v>0</v>
      </c>
    </row>
    <row r="39" spans="1:255" x14ac:dyDescent="0.2">
      <c r="A39" s="2" t="s">
        <v>72</v>
      </c>
      <c r="B39" s="18">
        <v>0</v>
      </c>
      <c r="C39" s="2">
        <v>0</v>
      </c>
    </row>
    <row r="40" spans="1:255" x14ac:dyDescent="0.2">
      <c r="A40" s="2" t="s">
        <v>73</v>
      </c>
      <c r="B40" s="18">
        <v>0</v>
      </c>
      <c r="C40" s="2">
        <f>ROUND(SUM(I40:P40)/B16,0)</f>
        <v>0</v>
      </c>
    </row>
    <row r="41" spans="1:255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</row>
    <row r="42" spans="1:255" x14ac:dyDescent="0.2">
      <c r="A42" s="4" t="s">
        <v>27</v>
      </c>
      <c r="B42" s="18">
        <v>7500</v>
      </c>
      <c r="C42" s="2">
        <f>ROUND(SUM(E42:P42)/B5,0)</f>
        <v>8933</v>
      </c>
      <c r="E42" s="2">
        <f>1384+174+439+130+824+158+265+191+1699+413+204+67+128+697+245+1129+148+87+281+185+126+95+1002+178</f>
        <v>10249</v>
      </c>
      <c r="F42" s="2">
        <f>246+203+1203+140+255+136+147+249+412+947+457+2103+166+186+1550+495</f>
        <v>8895</v>
      </c>
      <c r="G42" s="2">
        <f>99+356+232+300+140+241+128+1262+123+1111+89+400+1335+130+1438+100</f>
        <v>7484</v>
      </c>
      <c r="H42" s="2">
        <f>626+290+219+97+763+181+146+123+185+342+163+1338+1207+200+176+315+1622+136+235+76+193+186</f>
        <v>8819</v>
      </c>
      <c r="I42" s="2">
        <f>1309+480+300+277+526+300+1285+229+95+200+241+1249+85+130+151+390+493+230+157</f>
        <v>8127</v>
      </c>
      <c r="J42" s="2">
        <v>8800</v>
      </c>
      <c r="K42" s="2">
        <f>1833+539+227+1292+153+137+124+600+1103+284+1641+127+127+624+157+311+200+233+107+418+518+230</f>
        <v>10985</v>
      </c>
      <c r="L42" s="2">
        <f>141+1022+199+104+976+106+110+291+1271+144+1455+202+823+121+1167+558+104</f>
        <v>8794</v>
      </c>
      <c r="M42" s="2">
        <f>119+300+845+188+1252+111+201+127+127+259+220+89+1393+163+1141+151+230+129+119+1681+123+311+86+166+230+242+221</f>
        <v>10224</v>
      </c>
      <c r="N42" s="2">
        <f>74+141+393+186+101+1286+171+85+122+286+1351+990+159+133+275+1489</f>
        <v>7242</v>
      </c>
      <c r="O42" s="2">
        <f>201+104+378+477+128+139+87+157+175+228+901+74+170+1493+568+1506+823</f>
        <v>7609</v>
      </c>
      <c r="P42" s="2">
        <f>757+85+1036+213+185+323+1096+185+69+65+305+582+248+1544+189+1588+177+561+93+53+609</f>
        <v>9963</v>
      </c>
    </row>
    <row r="43" spans="1:255" x14ac:dyDescent="0.2">
      <c r="A43" s="4"/>
    </row>
    <row r="44" spans="1:255" x14ac:dyDescent="0.2">
      <c r="A44" s="11" t="s">
        <v>39</v>
      </c>
      <c r="C44" s="9"/>
      <c r="D44" s="8"/>
    </row>
    <row r="45" spans="1:255" s="9" customFormat="1" x14ac:dyDescent="0.2">
      <c r="A45" s="9" t="s">
        <v>30</v>
      </c>
      <c r="C45" s="9">
        <f>ROUND(SUM(E45:P45)/B5,0)</f>
        <v>14465</v>
      </c>
      <c r="E45" s="9">
        <f>17332-E42</f>
        <v>7083</v>
      </c>
      <c r="F45" s="9">
        <f>10929-F42</f>
        <v>2034</v>
      </c>
      <c r="G45" s="9">
        <f>18487-G42</f>
        <v>11003</v>
      </c>
      <c r="H45" s="9">
        <f>20370-H42</f>
        <v>11551</v>
      </c>
      <c r="I45" s="9">
        <f>23564-I42</f>
        <v>15437</v>
      </c>
      <c r="J45" s="9">
        <f>33943-J42</f>
        <v>25143</v>
      </c>
      <c r="K45" s="9">
        <f>26595-K42</f>
        <v>15610</v>
      </c>
      <c r="L45" s="9">
        <f>33173-L42</f>
        <v>24379</v>
      </c>
      <c r="M45" s="9">
        <f>17252-M42</f>
        <v>7028</v>
      </c>
      <c r="N45" s="9">
        <f>54737-N42-N51</f>
        <v>16257</v>
      </c>
      <c r="O45" s="9">
        <f>31131-O42-O51</f>
        <v>23522</v>
      </c>
      <c r="P45" s="9">
        <f>24500-P42-P51</f>
        <v>14537</v>
      </c>
    </row>
    <row r="46" spans="1:255" s="11" customFormat="1" ht="13.5" customHeight="1" x14ac:dyDescent="0.2">
      <c r="A46" s="11" t="s">
        <v>3</v>
      </c>
      <c r="B46" s="12" t="s">
        <v>46</v>
      </c>
      <c r="C46" s="13"/>
      <c r="D46" s="13"/>
    </row>
    <row r="47" spans="1:255" x14ac:dyDescent="0.2">
      <c r="A47" s="2" t="s">
        <v>38</v>
      </c>
      <c r="B47" s="18">
        <v>100</v>
      </c>
      <c r="D47" s="8"/>
      <c r="E47" s="2">
        <f>26+549+720</f>
        <v>1295</v>
      </c>
      <c r="J47" s="2">
        <f>449</f>
        <v>449</v>
      </c>
      <c r="L47" s="2">
        <f>559</f>
        <v>559</v>
      </c>
      <c r="N47" s="2">
        <f>96</f>
        <v>96</v>
      </c>
      <c r="O47" s="2">
        <f>423</f>
        <v>423</v>
      </c>
    </row>
    <row r="48" spans="1:255" x14ac:dyDescent="0.2">
      <c r="A48" s="11" t="s">
        <v>76</v>
      </c>
      <c r="B48" s="18">
        <v>0</v>
      </c>
      <c r="C48" s="9"/>
      <c r="D48" s="8"/>
    </row>
    <row r="49" spans="1:15" x14ac:dyDescent="0.2">
      <c r="A49" s="11" t="s">
        <v>77</v>
      </c>
      <c r="C49" s="9"/>
      <c r="D49" s="8"/>
    </row>
    <row r="50" spans="1:15" x14ac:dyDescent="0.2">
      <c r="A50" s="11" t="s">
        <v>80</v>
      </c>
      <c r="C50" s="9"/>
      <c r="D50" s="8"/>
      <c r="K50" s="2">
        <f>3996+278+4244</f>
        <v>8518</v>
      </c>
    </row>
    <row r="51" spans="1:15" x14ac:dyDescent="0.2">
      <c r="A51" s="11" t="s">
        <v>88</v>
      </c>
      <c r="C51" s="9"/>
      <c r="D51" s="8"/>
      <c r="N51" s="2">
        <f>533+990+2035+3000+4000+20680</f>
        <v>31238</v>
      </c>
    </row>
    <row r="52" spans="1:15" x14ac:dyDescent="0.2">
      <c r="A52" s="2" t="s">
        <v>3</v>
      </c>
      <c r="C52" s="9"/>
      <c r="D52" s="8"/>
      <c r="L52" s="2">
        <f>795</f>
        <v>795</v>
      </c>
      <c r="O52" s="2">
        <f>400</f>
        <v>400</v>
      </c>
    </row>
    <row r="53" spans="1:15" x14ac:dyDescent="0.2">
      <c r="A53" s="11" t="s">
        <v>81</v>
      </c>
      <c r="C53" s="9"/>
      <c r="D53" s="8"/>
      <c r="L53" s="2">
        <v>640</v>
      </c>
    </row>
    <row r="54" spans="1:15" x14ac:dyDescent="0.2">
      <c r="A54" s="11" t="s">
        <v>40</v>
      </c>
      <c r="B54" s="9">
        <f>SUM(B11:B52)</f>
        <v>30464</v>
      </c>
      <c r="D54" s="8"/>
    </row>
    <row r="55" spans="1:15" x14ac:dyDescent="0.2">
      <c r="A55" s="11"/>
      <c r="B55" s="9"/>
      <c r="C55" s="9">
        <f>SUM(C11:C48)</f>
        <v>45329</v>
      </c>
      <c r="D55" s="8"/>
      <c r="E55" s="8"/>
      <c r="J55" s="9"/>
      <c r="K55" s="9"/>
    </row>
    <row r="58" spans="1:15" x14ac:dyDescent="0.2">
      <c r="J58" s="14"/>
      <c r="K58" s="14"/>
    </row>
    <row r="59" spans="1:15" x14ac:dyDescent="0.2">
      <c r="A59" s="11"/>
      <c r="D59" s="8"/>
      <c r="G59" s="10"/>
    </row>
    <row r="60" spans="1:15" x14ac:dyDescent="0.2">
      <c r="A60" s="11"/>
      <c r="D60" s="8"/>
      <c r="G60" s="10"/>
    </row>
    <row r="61" spans="1:15" x14ac:dyDescent="0.2">
      <c r="A61" s="11"/>
      <c r="D61" s="8"/>
    </row>
    <row r="62" spans="1:15" x14ac:dyDescent="0.2">
      <c r="D62" s="8"/>
      <c r="G62" s="10"/>
    </row>
    <row r="63" spans="1:15" x14ac:dyDescent="0.2">
      <c r="D63" s="8"/>
      <c r="E63" s="8"/>
    </row>
    <row r="64" spans="1:15" x14ac:dyDescent="0.2">
      <c r="L64" s="2" t="s">
        <v>46</v>
      </c>
    </row>
    <row r="70" spans="1:10" x14ac:dyDescent="0.2">
      <c r="A70" s="4"/>
    </row>
    <row r="71" spans="1:10" x14ac:dyDescent="0.2">
      <c r="J71" s="9"/>
    </row>
    <row r="76" spans="1:10" x14ac:dyDescent="0.2">
      <c r="A76" s="4"/>
    </row>
  </sheetData>
  <phoneticPr fontId="0" type="noConversion"/>
  <pageMargins left="1.2597222222222222" right="1.2597222222222222" top="0.98472222222222228" bottom="0.98472222222222228" header="0.51180555555555551" footer="0.74791666666666667"/>
  <pageSetup paperSize="9" orientation="portrait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defaultColWidth="10" defaultRowHeight="12.75" x14ac:dyDescent="0.2"/>
  <cols>
    <col min="1" max="1" width="18.28515625" style="2" customWidth="1"/>
    <col min="2" max="16384" width="10" style="2"/>
  </cols>
  <sheetData>
    <row r="1" spans="1:2" x14ac:dyDescent="0.2">
      <c r="A1" s="2" t="s">
        <v>84</v>
      </c>
      <c r="B1" s="2">
        <v>5000</v>
      </c>
    </row>
    <row r="2" spans="1:2" x14ac:dyDescent="0.2">
      <c r="A2" s="2" t="s">
        <v>85</v>
      </c>
      <c r="B2" s="2">
        <v>17000</v>
      </c>
    </row>
    <row r="3" spans="1:2" x14ac:dyDescent="0.2">
      <c r="A3" s="2" t="s">
        <v>86</v>
      </c>
      <c r="B3" s="2">
        <v>5000</v>
      </c>
    </row>
    <row r="5" spans="1:2" s="11" customFormat="1" x14ac:dyDescent="0.2">
      <c r="A5" s="11" t="s">
        <v>44</v>
      </c>
      <c r="B5" s="11">
        <f>SUM(B1:B3)</f>
        <v>27000</v>
      </c>
    </row>
    <row r="7" spans="1:2" x14ac:dyDescent="0.2">
      <c r="A7" s="2" t="s">
        <v>82</v>
      </c>
      <c r="B7" s="2">
        <v>10000</v>
      </c>
    </row>
    <row r="8" spans="1:2" x14ac:dyDescent="0.2">
      <c r="A8" s="2" t="s">
        <v>83</v>
      </c>
      <c r="B8" s="2">
        <v>10000</v>
      </c>
    </row>
    <row r="10" spans="1:2" x14ac:dyDescent="0.2">
      <c r="A10" s="2" t="s">
        <v>87</v>
      </c>
      <c r="B10" s="2">
        <f>B5-B7-B8</f>
        <v>7000</v>
      </c>
    </row>
  </sheetData>
  <phoneticPr fontId="0" type="noConversion"/>
  <pageMargins left="1.2597222222222222" right="1.2597222222222222" top="0.98472222222222228" bottom="0.98472222222222228" header="0.51180555555555551" footer="0.74791666666666667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7"/>
  <sheetViews>
    <sheetView workbookViewId="0">
      <selection activeCell="D26" sqref="D26"/>
    </sheetView>
  </sheetViews>
  <sheetFormatPr defaultRowHeight="12.75" x14ac:dyDescent="0.2"/>
  <cols>
    <col min="5" max="5" width="15.140625" customWidth="1"/>
  </cols>
  <sheetData>
    <row r="3" spans="2:10" x14ac:dyDescent="0.2">
      <c r="D3" t="s">
        <v>315</v>
      </c>
      <c r="E3">
        <v>100</v>
      </c>
    </row>
    <row r="4" spans="2:10" x14ac:dyDescent="0.2">
      <c r="B4" s="94">
        <v>3776</v>
      </c>
      <c r="D4" t="s">
        <v>316</v>
      </c>
      <c r="E4">
        <v>5400</v>
      </c>
    </row>
    <row r="5" spans="2:10" x14ac:dyDescent="0.2">
      <c r="B5" s="94">
        <v>6485</v>
      </c>
      <c r="D5" t="s">
        <v>317</v>
      </c>
      <c r="E5">
        <v>554</v>
      </c>
    </row>
    <row r="6" spans="2:10" x14ac:dyDescent="0.2">
      <c r="B6" s="94">
        <v>5125</v>
      </c>
      <c r="C6" s="93">
        <v>42386</v>
      </c>
      <c r="D6" t="s">
        <v>318</v>
      </c>
      <c r="F6">
        <v>1729</v>
      </c>
      <c r="J6">
        <v>9700</v>
      </c>
    </row>
    <row r="7" spans="2:10" x14ac:dyDescent="0.2">
      <c r="B7" s="94"/>
      <c r="D7" t="s">
        <v>319</v>
      </c>
      <c r="E7">
        <v>0</v>
      </c>
      <c r="J7">
        <v>45000</v>
      </c>
    </row>
    <row r="8" spans="2:10" x14ac:dyDescent="0.2">
      <c r="B8" s="94">
        <f>SUM(B3:B7)</f>
        <v>15386</v>
      </c>
      <c r="D8" t="s">
        <v>320</v>
      </c>
      <c r="E8">
        <v>1971</v>
      </c>
      <c r="J8">
        <v>-31623</v>
      </c>
    </row>
    <row r="9" spans="2:10" x14ac:dyDescent="0.2">
      <c r="D9" t="s">
        <v>321</v>
      </c>
      <c r="E9">
        <v>1954</v>
      </c>
      <c r="J9">
        <f>SUM(J6:J8)</f>
        <v>23077</v>
      </c>
    </row>
    <row r="10" spans="2:10" x14ac:dyDescent="0.2">
      <c r="D10" t="s">
        <v>322</v>
      </c>
      <c r="E10">
        <v>0</v>
      </c>
    </row>
    <row r="11" spans="2:10" x14ac:dyDescent="0.2">
      <c r="D11" t="s">
        <v>323</v>
      </c>
      <c r="E11">
        <v>0</v>
      </c>
    </row>
    <row r="12" spans="2:10" x14ac:dyDescent="0.2">
      <c r="D12" t="s">
        <v>324</v>
      </c>
      <c r="G12">
        <v>150</v>
      </c>
    </row>
    <row r="13" spans="2:10" x14ac:dyDescent="0.2">
      <c r="D13" t="s">
        <v>325</v>
      </c>
      <c r="G13">
        <v>210</v>
      </c>
    </row>
    <row r="14" spans="2:10" x14ac:dyDescent="0.2">
      <c r="D14" t="s">
        <v>326</v>
      </c>
      <c r="G14">
        <v>243</v>
      </c>
    </row>
    <row r="17" spans="5:6" x14ac:dyDescent="0.2">
      <c r="E17">
        <f>SUM(E3:E16)</f>
        <v>9979</v>
      </c>
      <c r="F17">
        <f>SUM(F3:F16)</f>
        <v>1729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"/>
  <sheetViews>
    <sheetView workbookViewId="0">
      <selection activeCell="C12" sqref="C12"/>
    </sheetView>
  </sheetViews>
  <sheetFormatPr defaultColWidth="10" defaultRowHeight="12.75" x14ac:dyDescent="0.2"/>
  <cols>
    <col min="1" max="1" width="18.28515625" style="2" customWidth="1"/>
    <col min="2" max="16384" width="10" style="2"/>
  </cols>
  <sheetData>
    <row r="1" spans="1:18" x14ac:dyDescent="0.2">
      <c r="A1" s="2" t="s">
        <v>55</v>
      </c>
      <c r="F1" s="2">
        <v>70000</v>
      </c>
      <c r="L1" s="2">
        <v>77000</v>
      </c>
    </row>
    <row r="2" spans="1:18" x14ac:dyDescent="0.2">
      <c r="A2" s="2" t="s">
        <v>53</v>
      </c>
      <c r="N2" s="2">
        <v>60</v>
      </c>
      <c r="O2" s="2">
        <v>75</v>
      </c>
    </row>
    <row r="3" spans="1:18" x14ac:dyDescent="0.2">
      <c r="B3" s="2">
        <f>2496/12</f>
        <v>208</v>
      </c>
      <c r="E3" s="19">
        <v>37990</v>
      </c>
      <c r="G3" s="2" t="s">
        <v>46</v>
      </c>
      <c r="L3" s="17">
        <v>37865</v>
      </c>
      <c r="M3" s="2">
        <f>M4-L4</f>
        <v>882</v>
      </c>
      <c r="N3" s="2">
        <f>N4-M4</f>
        <v>1210</v>
      </c>
      <c r="O3" s="2">
        <f>O4-N4</f>
        <v>2338</v>
      </c>
    </row>
    <row r="4" spans="1:18" x14ac:dyDescent="0.2">
      <c r="A4" s="2" t="s">
        <v>51</v>
      </c>
      <c r="E4" s="8">
        <v>10831</v>
      </c>
      <c r="L4" s="2">
        <v>4138</v>
      </c>
      <c r="M4" s="2">
        <v>5020</v>
      </c>
      <c r="N4" s="2">
        <v>6230</v>
      </c>
      <c r="O4" s="2">
        <v>8568</v>
      </c>
      <c r="P4" s="2" t="s">
        <v>46</v>
      </c>
    </row>
    <row r="5" spans="1:18" x14ac:dyDescent="0.2">
      <c r="A5" s="2" t="s">
        <v>18</v>
      </c>
      <c r="B5" s="2">
        <v>12</v>
      </c>
      <c r="F5" s="1"/>
      <c r="G5" s="1"/>
      <c r="I5" s="1"/>
      <c r="J5" s="1"/>
      <c r="K5" s="1"/>
      <c r="L5" s="1"/>
      <c r="M5" s="1"/>
      <c r="N5" s="1"/>
      <c r="O5" s="1"/>
    </row>
    <row r="6" spans="1:18" x14ac:dyDescent="0.2">
      <c r="A6" s="2" t="s">
        <v>29</v>
      </c>
      <c r="E6" s="2">
        <f>14814+23449+1900</f>
        <v>40163</v>
      </c>
      <c r="F6" s="2">
        <f>14814+23449+1900</f>
        <v>40163</v>
      </c>
      <c r="G6" s="2">
        <f>14814+29933+1900</f>
        <v>46647</v>
      </c>
      <c r="H6" s="2">
        <f>16115+25598+1900</f>
        <v>43613</v>
      </c>
      <c r="I6" s="2">
        <f>16115+24338+1900</f>
        <v>42353</v>
      </c>
      <c r="J6" s="2">
        <f>16115+27256+1900</f>
        <v>45271</v>
      </c>
      <c r="K6" s="2">
        <f>16115+28839+1900</f>
        <v>46854</v>
      </c>
      <c r="L6" s="2">
        <f>16115+23464+1900</f>
        <v>41479</v>
      </c>
      <c r="M6" s="2">
        <f>17711+27321+1900</f>
        <v>46932</v>
      </c>
      <c r="N6" s="2">
        <f>16391+27129+1900</f>
        <v>45420</v>
      </c>
      <c r="O6" s="2">
        <f>16391+28858+1900</f>
        <v>47149</v>
      </c>
      <c r="P6" s="2">
        <f>16391+27092+1900</f>
        <v>45383</v>
      </c>
    </row>
    <row r="7" spans="1:18" x14ac:dyDescent="0.2">
      <c r="A7" s="2" t="s">
        <v>32</v>
      </c>
      <c r="E7" s="2">
        <f>E6-E9</f>
        <v>-10529</v>
      </c>
      <c r="F7" s="2">
        <f>F6-F9</f>
        <v>-10134</v>
      </c>
      <c r="J7" s="2">
        <f t="shared" ref="J7:P7" si="0">J6-J9</f>
        <v>4706</v>
      </c>
      <c r="K7" s="2">
        <f t="shared" si="0"/>
        <v>-21534.5</v>
      </c>
      <c r="L7" s="2">
        <f t="shared" si="0"/>
        <v>2221</v>
      </c>
      <c r="M7" s="2">
        <f t="shared" si="0"/>
        <v>9188</v>
      </c>
      <c r="N7" s="2">
        <f t="shared" si="0"/>
        <v>8155</v>
      </c>
      <c r="O7" s="2">
        <f t="shared" si="0"/>
        <v>4005</v>
      </c>
      <c r="P7" s="2">
        <f t="shared" si="0"/>
        <v>7970</v>
      </c>
    </row>
    <row r="8" spans="1:18" x14ac:dyDescent="0.2">
      <c r="A8" s="3" t="s">
        <v>0</v>
      </c>
      <c r="B8" s="4" t="s">
        <v>1</v>
      </c>
      <c r="C8" s="7" t="s">
        <v>5</v>
      </c>
      <c r="D8" s="4" t="s">
        <v>2</v>
      </c>
      <c r="E8" s="5" t="s">
        <v>6</v>
      </c>
      <c r="F8" s="5" t="s">
        <v>7</v>
      </c>
      <c r="G8" s="4" t="s">
        <v>8</v>
      </c>
      <c r="H8" s="5" t="s">
        <v>9</v>
      </c>
      <c r="I8" s="5" t="s">
        <v>10</v>
      </c>
      <c r="J8" s="5" t="s">
        <v>11</v>
      </c>
      <c r="K8" s="5" t="s">
        <v>12</v>
      </c>
      <c r="L8" s="5" t="s">
        <v>13</v>
      </c>
      <c r="M8" s="5" t="s">
        <v>14</v>
      </c>
      <c r="N8" s="5" t="s">
        <v>15</v>
      </c>
      <c r="O8" s="5" t="s">
        <v>16</v>
      </c>
      <c r="P8" s="5" t="s">
        <v>17</v>
      </c>
      <c r="Q8" s="3"/>
      <c r="R8" s="3"/>
    </row>
    <row r="9" spans="1:18" x14ac:dyDescent="0.2">
      <c r="A9" s="3" t="s">
        <v>26</v>
      </c>
      <c r="B9" s="4"/>
      <c r="C9" s="7"/>
      <c r="D9" s="4"/>
      <c r="E9" s="4">
        <f t="shared" ref="E9:P9" si="1">SUM(E10:E54)</f>
        <v>50692</v>
      </c>
      <c r="F9" s="4">
        <f t="shared" si="1"/>
        <v>50297</v>
      </c>
      <c r="G9" s="4">
        <f t="shared" si="1"/>
        <v>36418</v>
      </c>
      <c r="H9" s="4">
        <f t="shared" si="1"/>
        <v>32757</v>
      </c>
      <c r="I9" s="4">
        <f t="shared" si="1"/>
        <v>48109</v>
      </c>
      <c r="J9" s="4">
        <f t="shared" si="1"/>
        <v>40565</v>
      </c>
      <c r="K9" s="4">
        <f t="shared" si="1"/>
        <v>68388.5</v>
      </c>
      <c r="L9" s="4">
        <f t="shared" si="1"/>
        <v>39258</v>
      </c>
      <c r="M9" s="4">
        <f t="shared" si="1"/>
        <v>37744</v>
      </c>
      <c r="N9" s="4">
        <f t="shared" si="1"/>
        <v>37265</v>
      </c>
      <c r="O9" s="4">
        <f t="shared" si="1"/>
        <v>43144</v>
      </c>
      <c r="P9" s="4">
        <f t="shared" si="1"/>
        <v>37413</v>
      </c>
      <c r="Q9" s="3"/>
      <c r="R9" s="3"/>
    </row>
    <row r="10" spans="1:18" x14ac:dyDescent="0.2">
      <c r="A10" s="2" t="s">
        <v>28</v>
      </c>
      <c r="B10" s="18">
        <v>10758</v>
      </c>
      <c r="C10" s="2">
        <f>ROUND(SUM(E10:P10)/B5,0)</f>
        <v>10793</v>
      </c>
      <c r="D10" s="2" t="s">
        <v>46</v>
      </c>
      <c r="E10" s="2">
        <v>10835</v>
      </c>
      <c r="F10" s="2">
        <v>10828</v>
      </c>
      <c r="G10" s="2">
        <v>10820</v>
      </c>
      <c r="H10" s="2">
        <v>10812</v>
      </c>
      <c r="I10" s="2">
        <v>10804</v>
      </c>
      <c r="J10" s="2">
        <v>10797</v>
      </c>
      <c r="K10" s="2">
        <v>10789</v>
      </c>
      <c r="L10" s="2">
        <v>10781</v>
      </c>
      <c r="M10" s="2">
        <v>10773</v>
      </c>
      <c r="N10" s="2">
        <v>10766</v>
      </c>
      <c r="O10" s="2">
        <v>10758</v>
      </c>
      <c r="P10" s="2">
        <v>10750</v>
      </c>
    </row>
    <row r="11" spans="1:18" x14ac:dyDescent="0.2">
      <c r="A11" s="2" t="s">
        <v>21</v>
      </c>
      <c r="B11" s="2">
        <v>3000</v>
      </c>
      <c r="C11" s="2">
        <f>ROUND(SUM(E11:P11)/B5,0)</f>
        <v>1533</v>
      </c>
      <c r="E11" s="2">
        <f>374+3166</f>
        <v>3540</v>
      </c>
      <c r="F11" s="2">
        <v>2962</v>
      </c>
      <c r="G11" s="2">
        <v>2090</v>
      </c>
      <c r="H11" s="2">
        <v>1950</v>
      </c>
      <c r="I11" s="2">
        <f>810+1950</f>
        <v>2760</v>
      </c>
      <c r="J11" s="2">
        <v>0</v>
      </c>
      <c r="K11" s="2">
        <f>1049+514</f>
        <v>1563</v>
      </c>
      <c r="L11" s="2">
        <v>0</v>
      </c>
      <c r="M11" s="2">
        <f>187+563</f>
        <v>750</v>
      </c>
      <c r="O11" s="2">
        <f>586+2198</f>
        <v>2784</v>
      </c>
    </row>
    <row r="12" spans="1:18" x14ac:dyDescent="0.2">
      <c r="A12" s="2" t="s">
        <v>20</v>
      </c>
      <c r="B12" s="18">
        <v>600</v>
      </c>
      <c r="C12" s="2">
        <f>ROUND(SUM(E12:P12)/B5,0)</f>
        <v>538</v>
      </c>
      <c r="F12" s="2">
        <f>183+2217-749+91</f>
        <v>1742</v>
      </c>
      <c r="G12" s="2">
        <v>241</v>
      </c>
      <c r="H12" s="2">
        <v>258</v>
      </c>
      <c r="I12" s="2">
        <f>445</f>
        <v>445</v>
      </c>
      <c r="J12" s="21">
        <f>295+460</f>
        <v>755</v>
      </c>
      <c r="K12" s="2">
        <f>258</f>
        <v>258</v>
      </c>
      <c r="L12" s="2">
        <f>683+135</f>
        <v>818</v>
      </c>
      <c r="M12" s="2">
        <f>415</f>
        <v>415</v>
      </c>
      <c r="N12" s="2">
        <f>306</f>
        <v>306</v>
      </c>
      <c r="O12" s="2">
        <f>644+305</f>
        <v>949</v>
      </c>
      <c r="P12" s="2">
        <v>267</v>
      </c>
    </row>
    <row r="13" spans="1:18" x14ac:dyDescent="0.2">
      <c r="A13" s="2" t="s">
        <v>36</v>
      </c>
      <c r="B13" s="18">
        <v>404</v>
      </c>
      <c r="C13" s="2">
        <f>ROUND(SUM(E13:P13)/B5,0)</f>
        <v>414</v>
      </c>
      <c r="D13" s="6"/>
      <c r="G13" s="2">
        <v>1202</v>
      </c>
      <c r="J13" s="2">
        <v>1210</v>
      </c>
      <c r="K13" s="2">
        <v>0</v>
      </c>
      <c r="L13" s="2">
        <v>0</v>
      </c>
      <c r="M13" s="2">
        <v>1273</v>
      </c>
      <c r="P13" s="2">
        <v>1285</v>
      </c>
    </row>
    <row r="14" spans="1:18" x14ac:dyDescent="0.2">
      <c r="A14" s="2" t="s">
        <v>33</v>
      </c>
      <c r="B14" s="18">
        <v>189</v>
      </c>
      <c r="C14" s="2">
        <f>ROUND(SUM(I14:P14)/B5,0)</f>
        <v>159</v>
      </c>
      <c r="E14" s="2">
        <v>349</v>
      </c>
      <c r="F14" s="2">
        <v>349</v>
      </c>
      <c r="G14" s="2">
        <v>349</v>
      </c>
      <c r="H14" s="2">
        <v>349</v>
      </c>
      <c r="J14" s="2">
        <v>438</v>
      </c>
      <c r="K14" s="2">
        <f>189</f>
        <v>189</v>
      </c>
      <c r="L14" s="2">
        <v>189</v>
      </c>
      <c r="M14" s="2">
        <v>684</v>
      </c>
      <c r="N14" s="2">
        <f>410</f>
        <v>410</v>
      </c>
      <c r="O14" s="2">
        <v>0</v>
      </c>
      <c r="P14" s="2">
        <v>0</v>
      </c>
    </row>
    <row r="15" spans="1:18" x14ac:dyDescent="0.2">
      <c r="A15" s="2" t="s">
        <v>22</v>
      </c>
      <c r="B15" s="18">
        <v>156</v>
      </c>
      <c r="C15" s="2">
        <f>ROUND(SUM(I15:P15)/B5,0)</f>
        <v>79</v>
      </c>
      <c r="G15" s="2">
        <v>468</v>
      </c>
      <c r="H15" s="2">
        <v>0</v>
      </c>
      <c r="J15" s="2">
        <v>0</v>
      </c>
      <c r="M15" s="2">
        <v>468</v>
      </c>
      <c r="P15" s="2">
        <v>481</v>
      </c>
    </row>
    <row r="16" spans="1:18" x14ac:dyDescent="0.2">
      <c r="A16" s="2" t="s">
        <v>23</v>
      </c>
      <c r="B16" s="2">
        <v>348</v>
      </c>
      <c r="C16" s="2">
        <f>ROUND(SUM(I16:P16)/B5,0)</f>
        <v>374</v>
      </c>
      <c r="E16" s="2">
        <v>0</v>
      </c>
      <c r="H16" s="2">
        <v>0</v>
      </c>
      <c r="K16" s="2">
        <v>0</v>
      </c>
      <c r="M16" s="2">
        <v>4491</v>
      </c>
    </row>
    <row r="17" spans="1:23" x14ac:dyDescent="0.2">
      <c r="A17" s="2" t="s">
        <v>60</v>
      </c>
      <c r="B17" s="2">
        <v>348</v>
      </c>
      <c r="C17" s="2">
        <f>ROUND(SUM(I17:P17)/B5,0)</f>
        <v>69</v>
      </c>
      <c r="E17" s="2">
        <v>0</v>
      </c>
      <c r="H17" s="2">
        <v>0</v>
      </c>
      <c r="K17" s="2">
        <v>0</v>
      </c>
      <c r="M17" s="2">
        <v>0</v>
      </c>
      <c r="O17" s="2">
        <v>825</v>
      </c>
    </row>
    <row r="18" spans="1:23" x14ac:dyDescent="0.2">
      <c r="A18" s="2" t="s">
        <v>34</v>
      </c>
      <c r="B18" s="18">
        <v>208</v>
      </c>
      <c r="C18" s="2">
        <f>ROUND(SUM(I18:P18)/B5,0)</f>
        <v>0</v>
      </c>
      <c r="E18" s="2">
        <f>1224+1272</f>
        <v>2496</v>
      </c>
      <c r="G18" s="2">
        <v>0</v>
      </c>
      <c r="J18" s="2">
        <v>0</v>
      </c>
    </row>
    <row r="19" spans="1:23" x14ac:dyDescent="0.2">
      <c r="A19" s="2" t="s">
        <v>24</v>
      </c>
      <c r="B19" s="18">
        <v>0</v>
      </c>
      <c r="C19" s="2">
        <f>ROUND(SUM(I19:P19)/B5,0)</f>
        <v>127</v>
      </c>
      <c r="E19" s="2">
        <v>760</v>
      </c>
      <c r="F19" s="2">
        <v>760</v>
      </c>
      <c r="G19" s="2">
        <v>760</v>
      </c>
      <c r="H19" s="2">
        <v>760</v>
      </c>
      <c r="I19" s="2">
        <v>760</v>
      </c>
      <c r="J19" s="2">
        <v>760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23" x14ac:dyDescent="0.2">
      <c r="A20" s="14" t="s">
        <v>25</v>
      </c>
      <c r="B20" s="2">
        <f>85+40+40+28</f>
        <v>193</v>
      </c>
      <c r="C20" s="2">
        <f>ROUND(SUM(I20:P20)/B5,0)</f>
        <v>120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L20" s="2">
        <v>0</v>
      </c>
      <c r="M20" s="2">
        <v>0</v>
      </c>
      <c r="N20" s="2">
        <f>243+502</f>
        <v>745</v>
      </c>
      <c r="O20" s="2">
        <f>546+149</f>
        <v>695</v>
      </c>
      <c r="P20" s="2">
        <v>0</v>
      </c>
    </row>
    <row r="21" spans="1:23" x14ac:dyDescent="0.2">
      <c r="A21" s="2" t="s">
        <v>50</v>
      </c>
      <c r="B21" s="18">
        <v>160</v>
      </c>
      <c r="C21" s="2">
        <f>ROUND(SUM(I21:P21)/B5,0)</f>
        <v>159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f>1910</f>
        <v>1910</v>
      </c>
    </row>
    <row r="22" spans="1:23" x14ac:dyDescent="0.2">
      <c r="A22" s="2" t="s">
        <v>52</v>
      </c>
      <c r="B22" s="18">
        <f>542+533</f>
        <v>1075</v>
      </c>
      <c r="C22" s="2">
        <f>ROUND(SUM(I22:P22)/B5,0)</f>
        <v>0</v>
      </c>
      <c r="E22" s="2">
        <v>1055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</row>
    <row r="23" spans="1:23" x14ac:dyDescent="0.2">
      <c r="A23" s="2" t="s">
        <v>61</v>
      </c>
      <c r="B23" s="18">
        <v>28</v>
      </c>
      <c r="C23" s="2">
        <f>ROUND(SUM(I23:P23)/B5,0)</f>
        <v>26</v>
      </c>
      <c r="O23" s="2">
        <v>306</v>
      </c>
    </row>
    <row r="24" spans="1:23" x14ac:dyDescent="0.2">
      <c r="A24" s="2" t="s">
        <v>19</v>
      </c>
      <c r="B24" s="18">
        <v>2350</v>
      </c>
      <c r="C24" s="2">
        <f>ROUND(SUM(E24:P24)/B5,0)</f>
        <v>2421</v>
      </c>
      <c r="E24" s="2">
        <v>1731</v>
      </c>
      <c r="F24" s="2">
        <f>2249</f>
        <v>2249</v>
      </c>
      <c r="G24" s="2">
        <v>2951</v>
      </c>
      <c r="H24" s="2">
        <v>2641</v>
      </c>
      <c r="I24" s="2">
        <f>2386</f>
        <v>2386</v>
      </c>
      <c r="J24" s="2">
        <f>2283+484</f>
        <v>2767</v>
      </c>
      <c r="K24" s="2">
        <f>2088</f>
        <v>2088</v>
      </c>
      <c r="L24" s="2">
        <f>1784+17</f>
        <v>1801</v>
      </c>
      <c r="M24" s="2">
        <f>478+1980</f>
        <v>2458</v>
      </c>
      <c r="N24" s="2">
        <f>2327+473</f>
        <v>2800</v>
      </c>
      <c r="O24" s="2">
        <f>2910</f>
        <v>2910</v>
      </c>
      <c r="P24" s="2">
        <f>2194+70</f>
        <v>2264</v>
      </c>
    </row>
    <row r="25" spans="1:23" x14ac:dyDescent="0.2">
      <c r="A25" s="2" t="s">
        <v>31</v>
      </c>
      <c r="B25" s="18">
        <v>203</v>
      </c>
      <c r="C25" s="2">
        <f>ROUND(SUM(I25:P25)/B5,0)</f>
        <v>215</v>
      </c>
      <c r="I25" s="2">
        <v>1216</v>
      </c>
      <c r="L25" s="2">
        <v>1216</v>
      </c>
      <c r="N25" s="2">
        <v>146</v>
      </c>
    </row>
    <row r="26" spans="1:23" x14ac:dyDescent="0.2">
      <c r="A26" s="2" t="s">
        <v>35</v>
      </c>
      <c r="B26" s="18">
        <f>ROUND((2796+3974)/12,0)</f>
        <v>564</v>
      </c>
      <c r="C26" s="2">
        <f>ROUND(SUM(I26:P26)/B5,0)</f>
        <v>566</v>
      </c>
      <c r="E26" s="2">
        <v>195</v>
      </c>
      <c r="J26" s="2">
        <v>2796</v>
      </c>
      <c r="K26" s="2">
        <v>0</v>
      </c>
      <c r="L26" s="2">
        <v>0</v>
      </c>
      <c r="N26" s="2">
        <v>3998</v>
      </c>
    </row>
    <row r="27" spans="1:23" x14ac:dyDescent="0.2">
      <c r="A27" s="2" t="s">
        <v>54</v>
      </c>
      <c r="B27" s="2">
        <v>170</v>
      </c>
      <c r="C27" s="2">
        <f>ROUND(SUM(I27:P27)/B5,0)</f>
        <v>167</v>
      </c>
      <c r="E27" s="2">
        <v>2275</v>
      </c>
      <c r="F27" s="2">
        <v>0</v>
      </c>
      <c r="L27" s="2">
        <v>0</v>
      </c>
      <c r="O27" s="2">
        <v>2000</v>
      </c>
    </row>
    <row r="28" spans="1:23" x14ac:dyDescent="0.2">
      <c r="A28" s="4" t="s">
        <v>27</v>
      </c>
      <c r="B28" s="2">
        <v>6400</v>
      </c>
      <c r="C28" s="2">
        <f>ROUND(SUM(E28:P28)/B5,0)</f>
        <v>6081</v>
      </c>
      <c r="E28" s="2">
        <f>252+300+156+2701+1041+386+870+146+850+139+511+320+195</f>
        <v>7867</v>
      </c>
      <c r="F28" s="2">
        <f>172+1295+72+610+1478+300+300+764+211+300+607</f>
        <v>6109</v>
      </c>
      <c r="G28" s="2">
        <f>290+1179+679+1306</f>
        <v>3454</v>
      </c>
      <c r="H28" s="2">
        <f>152+936+214+185+101+138+581+139+189+895+167+108+1441+300+1062</f>
        <v>6608</v>
      </c>
      <c r="I28" s="2">
        <f>455+300+167+389+132+234+1322+500+376+188+910+300+500+250</f>
        <v>6023</v>
      </c>
      <c r="J28" s="2">
        <f>108+28+724+763+347+102+152+260+502+427+1257+409+1175+239+879+300</f>
        <v>7672</v>
      </c>
      <c r="K28" s="2">
        <v>3700</v>
      </c>
      <c r="L28" s="2">
        <f>453+203+222+1189+196+141+1857+157+1164+358+408</f>
        <v>6348</v>
      </c>
      <c r="M28" s="2">
        <f>514+154+907+207+753+300+820+300+212+300+127+1000+83+94+257+109</f>
        <v>6137</v>
      </c>
      <c r="N28" s="2">
        <f>1515+110+80+300+509+220+193+300+2131+163+238+728+324</f>
        <v>6811</v>
      </c>
      <c r="O28" s="2">
        <f>361+149+300+88+116+899+1286+300+101+165+594+1966+64</f>
        <v>6389</v>
      </c>
      <c r="P28" s="2">
        <f>1079+151+158+300+172+210+262+717+142+689+1301+150+183+338</f>
        <v>5852</v>
      </c>
    </row>
    <row r="29" spans="1:23" x14ac:dyDescent="0.2">
      <c r="A29" s="4"/>
    </row>
    <row r="30" spans="1:23" x14ac:dyDescent="0.2">
      <c r="A30" s="11" t="s">
        <v>39</v>
      </c>
      <c r="C30" s="9"/>
      <c r="D30" s="8"/>
      <c r="E30" s="8"/>
      <c r="J30" s="9"/>
      <c r="K30" s="9"/>
    </row>
    <row r="31" spans="1:23" x14ac:dyDescent="0.2">
      <c r="A31" s="9" t="s">
        <v>30</v>
      </c>
      <c r="B31" s="9"/>
      <c r="C31" s="9">
        <f>ROUND(SUM(E31:P31)/B5,0)</f>
        <v>16451</v>
      </c>
      <c r="D31" s="9"/>
      <c r="E31" s="9">
        <f>10476+16980-E28</f>
        <v>19589</v>
      </c>
      <c r="F31" s="9">
        <f>7499+8103-F28</f>
        <v>9493</v>
      </c>
      <c r="G31" s="9">
        <f>13315+4222-G28</f>
        <v>14083</v>
      </c>
      <c r="H31" s="9">
        <f>8421+7566-H28</f>
        <v>9379</v>
      </c>
      <c r="I31" s="9">
        <f>19527+10211-I28</f>
        <v>23715</v>
      </c>
      <c r="J31" s="9">
        <f>9950+11092-J28</f>
        <v>13370</v>
      </c>
      <c r="K31" s="9">
        <f>31629+19335-K28</f>
        <v>47264</v>
      </c>
      <c r="L31" s="9">
        <f>12829+11095-L28</f>
        <v>17576</v>
      </c>
      <c r="M31" s="9">
        <f>4678+10854-M28</f>
        <v>9395</v>
      </c>
      <c r="N31" s="9">
        <f>7701+9649-N28</f>
        <v>10539</v>
      </c>
      <c r="O31" s="9">
        <f>7910+12567-O28-2000</f>
        <v>12088</v>
      </c>
      <c r="P31" s="9">
        <f>7423+9353-P28</f>
        <v>10924</v>
      </c>
      <c r="Q31" s="9"/>
      <c r="R31" s="9"/>
      <c r="S31" s="9"/>
      <c r="T31" s="9"/>
      <c r="U31" s="9"/>
      <c r="V31" s="9"/>
      <c r="W31" s="9"/>
    </row>
    <row r="32" spans="1:23" x14ac:dyDescent="0.2">
      <c r="A32" s="11" t="s">
        <v>3</v>
      </c>
      <c r="B32" s="12" t="s">
        <v>46</v>
      </c>
      <c r="C32" s="13"/>
      <c r="D32" s="13"/>
      <c r="E32" s="11"/>
      <c r="F32" s="11"/>
      <c r="G32" s="22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16" x14ac:dyDescent="0.2">
      <c r="B33" s="2" t="s">
        <v>46</v>
      </c>
    </row>
    <row r="34" spans="1:16" x14ac:dyDescent="0.2">
      <c r="A34" s="2" t="s">
        <v>37</v>
      </c>
      <c r="B34" s="18">
        <v>650</v>
      </c>
      <c r="C34" s="2">
        <f>ROUND(SUM(E34:P34)/B5,0)</f>
        <v>511</v>
      </c>
      <c r="D34" s="8"/>
      <c r="G34" s="10"/>
      <c r="H34" s="2">
        <v>0</v>
      </c>
      <c r="K34" s="2">
        <f>((1785+1980)*2)/12</f>
        <v>627.5</v>
      </c>
      <c r="P34" s="2">
        <f>2815+2695</f>
        <v>5510</v>
      </c>
    </row>
    <row r="35" spans="1:16" x14ac:dyDescent="0.2">
      <c r="A35" s="2" t="s">
        <v>57</v>
      </c>
      <c r="B35" s="18">
        <v>350</v>
      </c>
      <c r="D35" s="8"/>
      <c r="G35" s="10"/>
    </row>
    <row r="36" spans="1:16" x14ac:dyDescent="0.2">
      <c r="A36" s="2" t="s">
        <v>4</v>
      </c>
      <c r="B36" s="18">
        <v>100</v>
      </c>
      <c r="C36" s="2">
        <f>ROUND(SUM(E36:P36)/B5,0)</f>
        <v>162</v>
      </c>
      <c r="D36" s="8"/>
      <c r="E36" s="9"/>
      <c r="F36" s="2">
        <v>900</v>
      </c>
      <c r="G36" s="10"/>
      <c r="H36" s="2">
        <v>0</v>
      </c>
      <c r="M36" s="2">
        <v>900</v>
      </c>
      <c r="N36" s="2">
        <f>48*3</f>
        <v>144</v>
      </c>
    </row>
    <row r="37" spans="1:16" x14ac:dyDescent="0.2">
      <c r="A37" s="2" t="s">
        <v>38</v>
      </c>
      <c r="B37" s="18">
        <v>100</v>
      </c>
      <c r="D37" s="8"/>
      <c r="F37" s="2">
        <v>199</v>
      </c>
      <c r="G37" s="10"/>
      <c r="J37" s="2">
        <v>0</v>
      </c>
      <c r="L37" s="2">
        <v>529</v>
      </c>
      <c r="N37" s="2">
        <v>0</v>
      </c>
      <c r="O37" s="2">
        <v>0</v>
      </c>
    </row>
    <row r="38" spans="1:16" x14ac:dyDescent="0.2">
      <c r="A38" s="2" t="s">
        <v>56</v>
      </c>
      <c r="B38" s="18">
        <v>100</v>
      </c>
      <c r="C38" s="9"/>
      <c r="D38" s="8"/>
      <c r="E38" s="8"/>
      <c r="J38" s="9"/>
      <c r="K38" s="9"/>
      <c r="N38" s="2">
        <v>600</v>
      </c>
    </row>
    <row r="39" spans="1:16" x14ac:dyDescent="0.2">
      <c r="A39" s="2" t="s">
        <v>58</v>
      </c>
      <c r="C39" s="9"/>
      <c r="D39" s="8"/>
      <c r="E39" s="8"/>
      <c r="J39" s="9"/>
      <c r="K39" s="9"/>
      <c r="P39" s="2">
        <v>80</v>
      </c>
    </row>
    <row r="40" spans="1:16" x14ac:dyDescent="0.2">
      <c r="A40" s="2" t="s">
        <v>59</v>
      </c>
      <c r="C40" s="9"/>
      <c r="D40" s="8"/>
      <c r="E40" s="8"/>
      <c r="F40" s="2">
        <v>14706</v>
      </c>
      <c r="J40" s="9"/>
      <c r="K40" s="9"/>
      <c r="M40" s="2">
        <v>0</v>
      </c>
      <c r="O40" s="2">
        <v>3440</v>
      </c>
      <c r="P40" s="2">
        <v>0</v>
      </c>
    </row>
    <row r="41" spans="1:16" x14ac:dyDescent="0.2">
      <c r="A41" s="11" t="s">
        <v>40</v>
      </c>
      <c r="B41" s="9">
        <f>SUM(B10:B40)</f>
        <v>28454</v>
      </c>
      <c r="C41" s="9">
        <f>SUM(C10:C38)</f>
        <v>40965</v>
      </c>
      <c r="D41" s="8"/>
      <c r="E41" s="8"/>
      <c r="J41" s="9"/>
      <c r="K41" s="9"/>
    </row>
    <row r="42" spans="1:16" x14ac:dyDescent="0.2">
      <c r="A42" s="11"/>
      <c r="B42" s="9"/>
      <c r="C42" s="9"/>
      <c r="D42" s="8"/>
      <c r="E42" s="8"/>
      <c r="J42" s="9"/>
      <c r="K42" s="9"/>
    </row>
    <row r="45" spans="1:16" x14ac:dyDescent="0.2">
      <c r="J45" s="14"/>
      <c r="K45" s="14"/>
    </row>
    <row r="46" spans="1:16" x14ac:dyDescent="0.2">
      <c r="A46" s="11"/>
      <c r="D46" s="8"/>
      <c r="G46" s="10"/>
    </row>
    <row r="47" spans="1:16" x14ac:dyDescent="0.2">
      <c r="A47" s="11"/>
      <c r="D47" s="8"/>
      <c r="G47" s="10"/>
    </row>
    <row r="48" spans="1:16" x14ac:dyDescent="0.2">
      <c r="A48" s="11"/>
      <c r="D48" s="8"/>
    </row>
  </sheetData>
  <phoneticPr fontId="0" type="noConversion"/>
  <pageMargins left="1.2597222222222222" right="1.2597222222222222" top="0.98472222222222228" bottom="0.98472222222222228" header="0.51180555555555551" footer="0.74791666666666667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" defaultRowHeight="12.75" x14ac:dyDescent="0.2"/>
  <cols>
    <col min="1" max="1" width="18.28515625" style="2" customWidth="1"/>
    <col min="2" max="16384" width="10" style="2"/>
  </cols>
  <sheetData/>
  <phoneticPr fontId="0" type="noConversion"/>
  <pageMargins left="1.2597222222222222" right="1.2597222222222222" top="0.98472222222222228" bottom="0.98472222222222228" header="0.51180555555555551" footer="0.74791666666666667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6"/>
  <sheetViews>
    <sheetView workbookViewId="0">
      <selection activeCell="E24" sqref="E24"/>
    </sheetView>
  </sheetViews>
  <sheetFormatPr defaultRowHeight="12.75" x14ac:dyDescent="0.2"/>
  <cols>
    <col min="1" max="1" width="25" customWidth="1"/>
  </cols>
  <sheetData>
    <row r="1" spans="1:18" x14ac:dyDescent="0.2">
      <c r="B1" s="2"/>
      <c r="C1" s="64"/>
      <c r="D1" s="52"/>
      <c r="E1" s="52"/>
      <c r="F1" s="64"/>
      <c r="G1" s="52"/>
      <c r="H1" s="52"/>
      <c r="I1" s="52"/>
      <c r="J1" s="52"/>
      <c r="K1" s="52"/>
      <c r="L1" s="64"/>
      <c r="M1" s="52"/>
      <c r="N1" s="64"/>
      <c r="O1" s="2"/>
      <c r="P1" s="2"/>
      <c r="Q1" s="2"/>
      <c r="R1" s="2"/>
    </row>
    <row r="2" spans="1:18" x14ac:dyDescent="0.2">
      <c r="A2" t="s">
        <v>162</v>
      </c>
      <c r="B2" s="45">
        <f>SUM(C2:N2)</f>
        <v>8000</v>
      </c>
      <c r="C2" s="38">
        <v>0</v>
      </c>
      <c r="D2" s="38">
        <v>2000</v>
      </c>
      <c r="E2" s="38">
        <v>2000</v>
      </c>
      <c r="F2" s="38">
        <v>2000</v>
      </c>
      <c r="G2" s="38">
        <v>2000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2"/>
      <c r="P2" s="2"/>
      <c r="Q2" s="2"/>
      <c r="R2" s="2"/>
    </row>
    <row r="3" spans="1:18" x14ac:dyDescent="0.2">
      <c r="A3" t="s">
        <v>270</v>
      </c>
      <c r="B3" s="45">
        <f>SUM(C3:N3)</f>
        <v>61600</v>
      </c>
      <c r="C3" s="38">
        <v>0</v>
      </c>
      <c r="D3" s="52">
        <v>10000</v>
      </c>
      <c r="E3" s="38">
        <v>5000</v>
      </c>
      <c r="F3" s="38">
        <v>5000</v>
      </c>
      <c r="G3" s="38">
        <v>5000</v>
      </c>
      <c r="H3" s="38">
        <v>5000</v>
      </c>
      <c r="I3" s="38">
        <v>5000</v>
      </c>
      <c r="J3" s="52">
        <v>10400</v>
      </c>
      <c r="K3" s="38">
        <v>5400</v>
      </c>
      <c r="L3" s="38">
        <v>5400</v>
      </c>
      <c r="M3" s="38">
        <v>5400</v>
      </c>
      <c r="N3" s="38">
        <v>0</v>
      </c>
      <c r="O3" s="2"/>
      <c r="P3" s="2"/>
      <c r="Q3" s="2"/>
      <c r="R3" s="2"/>
    </row>
    <row r="4" spans="1:18" x14ac:dyDescent="0.2">
      <c r="A4" s="38" t="s">
        <v>32</v>
      </c>
      <c r="B4" s="45">
        <f>SUM(C4:N4)</f>
        <v>-46466</v>
      </c>
      <c r="C4" s="2">
        <f t="shared" ref="C4:N4" si="0">C2+C3-C7</f>
        <v>-3170</v>
      </c>
      <c r="D4" s="2">
        <f t="shared" si="0"/>
        <v>8258</v>
      </c>
      <c r="E4" s="2">
        <f t="shared" si="0"/>
        <v>-9263</v>
      </c>
      <c r="F4" s="2">
        <f t="shared" si="0"/>
        <v>-5122</v>
      </c>
      <c r="G4" s="2">
        <f t="shared" si="0"/>
        <v>-2118</v>
      </c>
      <c r="H4" s="2">
        <f t="shared" si="0"/>
        <v>-3886</v>
      </c>
      <c r="I4" s="2">
        <f t="shared" si="0"/>
        <v>-4426</v>
      </c>
      <c r="J4" s="2">
        <f t="shared" si="0"/>
        <v>-6948</v>
      </c>
      <c r="K4" s="2">
        <f t="shared" si="0"/>
        <v>-3685</v>
      </c>
      <c r="L4" s="2">
        <f t="shared" si="0"/>
        <v>-3477</v>
      </c>
      <c r="M4" s="2">
        <f t="shared" si="0"/>
        <v>-3728</v>
      </c>
      <c r="N4" s="2">
        <f t="shared" si="0"/>
        <v>-8901</v>
      </c>
      <c r="O4" s="2"/>
      <c r="P4" s="2"/>
      <c r="Q4" s="2"/>
      <c r="R4" s="2"/>
    </row>
    <row r="5" spans="1:18" x14ac:dyDescent="0.2">
      <c r="A5" s="59" t="s">
        <v>269</v>
      </c>
      <c r="B5" s="75">
        <f>SUM(C5:N5)</f>
        <v>-19717</v>
      </c>
      <c r="C5" s="50">
        <f t="shared" ref="C5:N5" si="1">C2+C3-C8-C10-C11-C12-C13</f>
        <v>-2531</v>
      </c>
      <c r="D5" s="50">
        <f t="shared" si="1"/>
        <v>8258</v>
      </c>
      <c r="E5" s="50">
        <f t="shared" si="1"/>
        <v>-6652</v>
      </c>
      <c r="F5" s="50">
        <f t="shared" si="1"/>
        <v>-2511</v>
      </c>
      <c r="G5" s="50">
        <f t="shared" si="1"/>
        <v>493</v>
      </c>
      <c r="H5" s="50">
        <f t="shared" si="1"/>
        <v>-1275</v>
      </c>
      <c r="I5" s="50">
        <f t="shared" si="1"/>
        <v>-1815</v>
      </c>
      <c r="J5" s="50">
        <f t="shared" si="1"/>
        <v>-4337</v>
      </c>
      <c r="K5" s="50">
        <f t="shared" si="1"/>
        <v>-1074</v>
      </c>
      <c r="L5" s="50">
        <f t="shared" si="1"/>
        <v>-866</v>
      </c>
      <c r="M5" s="50">
        <f t="shared" si="1"/>
        <v>-1117</v>
      </c>
      <c r="N5" s="50">
        <f t="shared" si="1"/>
        <v>-6290</v>
      </c>
      <c r="O5" s="2"/>
      <c r="P5" s="2"/>
      <c r="Q5" s="2"/>
      <c r="R5" s="2"/>
    </row>
    <row r="6" spans="1:18" x14ac:dyDescent="0.2">
      <c r="A6" s="3" t="s">
        <v>0</v>
      </c>
      <c r="B6" s="4" t="s">
        <v>1</v>
      </c>
      <c r="C6" s="5" t="s">
        <v>6</v>
      </c>
      <c r="D6" s="11" t="s">
        <v>7</v>
      </c>
      <c r="E6" s="4" t="s">
        <v>8</v>
      </c>
      <c r="F6" s="5" t="s">
        <v>9</v>
      </c>
      <c r="G6" s="5" t="s">
        <v>10</v>
      </c>
      <c r="H6" s="5" t="s">
        <v>11</v>
      </c>
      <c r="I6" s="5" t="s">
        <v>12</v>
      </c>
      <c r="J6" s="5" t="s">
        <v>13</v>
      </c>
      <c r="K6" s="5" t="s">
        <v>14</v>
      </c>
      <c r="L6" s="5" t="s">
        <v>192</v>
      </c>
      <c r="M6" s="5" t="s">
        <v>16</v>
      </c>
      <c r="N6" s="5" t="s">
        <v>17</v>
      </c>
      <c r="O6" s="3"/>
      <c r="P6" s="3"/>
      <c r="Q6" s="2"/>
      <c r="R6" s="2"/>
    </row>
    <row r="7" spans="1:18" x14ac:dyDescent="0.2">
      <c r="A7" s="47" t="s">
        <v>26</v>
      </c>
      <c r="B7" s="49"/>
      <c r="C7" s="49">
        <f t="shared" ref="C7:N7" si="2">SUM(C8:C41)</f>
        <v>3170</v>
      </c>
      <c r="D7" s="49">
        <f t="shared" si="2"/>
        <v>3742</v>
      </c>
      <c r="E7" s="49">
        <f t="shared" si="2"/>
        <v>16263</v>
      </c>
      <c r="F7" s="49">
        <f t="shared" si="2"/>
        <v>12122</v>
      </c>
      <c r="G7" s="49">
        <f t="shared" si="2"/>
        <v>9118</v>
      </c>
      <c r="H7" s="49">
        <f t="shared" si="2"/>
        <v>8886</v>
      </c>
      <c r="I7" s="49">
        <f t="shared" si="2"/>
        <v>9426</v>
      </c>
      <c r="J7" s="49">
        <f t="shared" si="2"/>
        <v>17348</v>
      </c>
      <c r="K7" s="49">
        <f t="shared" si="2"/>
        <v>9085</v>
      </c>
      <c r="L7" s="49">
        <f t="shared" si="2"/>
        <v>8877</v>
      </c>
      <c r="M7" s="49">
        <f t="shared" si="2"/>
        <v>9128</v>
      </c>
      <c r="N7" s="49">
        <f t="shared" si="2"/>
        <v>8901</v>
      </c>
      <c r="O7" s="3"/>
      <c r="P7" s="3"/>
      <c r="Q7" s="2"/>
      <c r="R7" s="2"/>
    </row>
    <row r="8" spans="1:18" x14ac:dyDescent="0.2">
      <c r="A8" s="45" t="s">
        <v>227</v>
      </c>
      <c r="B8" s="45">
        <f t="shared" ref="B8:B13" si="3">SUM(C8:N8)</f>
        <v>32940</v>
      </c>
      <c r="C8" s="38">
        <v>835</v>
      </c>
      <c r="D8" s="38">
        <v>0</v>
      </c>
      <c r="E8" s="38">
        <v>9360</v>
      </c>
      <c r="F8" s="38">
        <v>2540</v>
      </c>
      <c r="G8" s="38">
        <v>2536</v>
      </c>
      <c r="H8" s="38">
        <v>2533</v>
      </c>
      <c r="I8" s="38">
        <v>2530</v>
      </c>
      <c r="J8" s="38">
        <v>2527</v>
      </c>
      <c r="K8" s="38">
        <v>2524</v>
      </c>
      <c r="L8" s="38">
        <v>2524</v>
      </c>
      <c r="M8" s="38">
        <v>2517</v>
      </c>
      <c r="N8" s="38">
        <v>2514</v>
      </c>
      <c r="O8" s="2"/>
      <c r="P8" s="2"/>
      <c r="Q8" s="2"/>
      <c r="R8" s="2"/>
    </row>
    <row r="9" spans="1:18" x14ac:dyDescent="0.2">
      <c r="A9" s="45" t="s">
        <v>228</v>
      </c>
      <c r="B9" s="45">
        <f t="shared" si="3"/>
        <v>26749</v>
      </c>
      <c r="C9" s="38">
        <v>639</v>
      </c>
      <c r="D9" s="38">
        <v>0</v>
      </c>
      <c r="E9" s="38">
        <v>2611</v>
      </c>
      <c r="F9" s="38">
        <v>2611</v>
      </c>
      <c r="G9" s="38">
        <v>2611</v>
      </c>
      <c r="H9" s="38">
        <v>2611</v>
      </c>
      <c r="I9" s="38">
        <v>2611</v>
      </c>
      <c r="J9" s="38">
        <v>2611</v>
      </c>
      <c r="K9" s="38">
        <v>2611</v>
      </c>
      <c r="L9" s="38">
        <v>2611</v>
      </c>
      <c r="M9" s="38">
        <v>2611</v>
      </c>
      <c r="N9" s="38">
        <v>2611</v>
      </c>
      <c r="O9" s="2"/>
      <c r="P9" s="2"/>
      <c r="Q9" s="2"/>
      <c r="R9" s="2"/>
    </row>
    <row r="10" spans="1:18" x14ac:dyDescent="0.2">
      <c r="A10" s="45" t="s">
        <v>195</v>
      </c>
      <c r="B10" s="45">
        <f t="shared" si="3"/>
        <v>1574</v>
      </c>
      <c r="C10" s="38">
        <v>0</v>
      </c>
      <c r="D10" s="38">
        <v>0</v>
      </c>
      <c r="E10" s="38">
        <v>107</v>
      </c>
      <c r="F10" s="38">
        <v>229</v>
      </c>
      <c r="G10" s="38">
        <v>229</v>
      </c>
      <c r="H10" s="38">
        <v>0</v>
      </c>
      <c r="I10" s="38">
        <v>543</v>
      </c>
      <c r="J10" s="38">
        <v>0</v>
      </c>
      <c r="K10" s="38">
        <v>208</v>
      </c>
      <c r="L10" s="38">
        <v>0</v>
      </c>
      <c r="M10" s="38">
        <v>258</v>
      </c>
      <c r="N10" s="38">
        <v>0</v>
      </c>
      <c r="O10" s="2"/>
      <c r="P10" s="2"/>
      <c r="Q10" s="2"/>
      <c r="R10" s="2"/>
    </row>
    <row r="11" spans="1:18" x14ac:dyDescent="0.2">
      <c r="A11" s="45" t="s">
        <v>120</v>
      </c>
      <c r="B11" s="45">
        <f t="shared" si="3"/>
        <v>1696</v>
      </c>
      <c r="C11" s="38">
        <v>1696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2"/>
      <c r="P11" s="2"/>
      <c r="Q11" s="2"/>
      <c r="R11" s="2"/>
    </row>
    <row r="12" spans="1:18" x14ac:dyDescent="0.2">
      <c r="A12" s="45" t="s">
        <v>263</v>
      </c>
      <c r="B12" s="45">
        <f t="shared" si="3"/>
        <v>41639</v>
      </c>
      <c r="C12" s="38">
        <v>0</v>
      </c>
      <c r="D12" s="38">
        <v>3742</v>
      </c>
      <c r="E12" s="38">
        <v>4185</v>
      </c>
      <c r="F12" s="38">
        <v>3742</v>
      </c>
      <c r="G12" s="38">
        <v>3742</v>
      </c>
      <c r="H12" s="38">
        <v>3742</v>
      </c>
      <c r="I12" s="38">
        <v>3742</v>
      </c>
      <c r="J12" s="38">
        <v>3742</v>
      </c>
      <c r="K12" s="38">
        <v>3742</v>
      </c>
      <c r="L12" s="38">
        <v>3742</v>
      </c>
      <c r="M12" s="38">
        <v>3742</v>
      </c>
      <c r="N12" s="38">
        <v>3776</v>
      </c>
    </row>
    <row r="13" spans="1:18" x14ac:dyDescent="0.2">
      <c r="A13" s="45" t="s">
        <v>3</v>
      </c>
      <c r="B13" s="45">
        <f t="shared" si="3"/>
        <v>11468</v>
      </c>
      <c r="C13" s="38">
        <v>0</v>
      </c>
      <c r="D13" s="38">
        <v>0</v>
      </c>
      <c r="E13" s="38">
        <v>0</v>
      </c>
      <c r="F13" s="38">
        <v>3000</v>
      </c>
      <c r="G13" s="38">
        <v>0</v>
      </c>
      <c r="H13" s="38">
        <v>0</v>
      </c>
      <c r="I13" s="38">
        <v>0</v>
      </c>
      <c r="J13" s="38">
        <v>8468</v>
      </c>
      <c r="K13" s="38">
        <v>0</v>
      </c>
      <c r="L13" s="38">
        <v>0</v>
      </c>
      <c r="M13" s="38">
        <v>0</v>
      </c>
      <c r="N13" s="38">
        <v>0</v>
      </c>
    </row>
    <row r="16" spans="1:18" x14ac:dyDescent="0.2">
      <c r="A16" t="s">
        <v>302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workbookViewId="0">
      <selection activeCell="C13" sqref="C13"/>
    </sheetView>
  </sheetViews>
  <sheetFormatPr defaultRowHeight="12.75" x14ac:dyDescent="0.2"/>
  <cols>
    <col min="1" max="1" width="11.7109375" customWidth="1"/>
    <col min="2" max="2" width="12.140625" customWidth="1"/>
    <col min="3" max="3" width="29.5703125" customWidth="1"/>
    <col min="4" max="4" width="13.140625" customWidth="1"/>
    <col min="5" max="5" width="8.42578125" customWidth="1"/>
    <col min="6" max="6" width="14.28515625" customWidth="1"/>
    <col min="8" max="8" width="12.5703125" customWidth="1"/>
    <col min="9" max="9" width="12.7109375" customWidth="1"/>
    <col min="10" max="10" width="8.85546875" customWidth="1"/>
    <col min="11" max="11" width="7.5703125" customWidth="1"/>
    <col min="12" max="12" width="16.140625" customWidth="1"/>
    <col min="13" max="13" width="24.42578125" customWidth="1"/>
  </cols>
  <sheetData>
    <row r="1" spans="1:13" ht="15" x14ac:dyDescent="0.25">
      <c r="A1" s="76"/>
      <c r="B1" s="76" t="s">
        <v>271</v>
      </c>
      <c r="C1" s="76" t="s">
        <v>272</v>
      </c>
      <c r="D1" s="76" t="s">
        <v>184</v>
      </c>
      <c r="E1" s="76" t="s">
        <v>103</v>
      </c>
      <c r="F1" s="76" t="s">
        <v>273</v>
      </c>
      <c r="G1" s="76" t="s">
        <v>274</v>
      </c>
      <c r="H1" s="76" t="s">
        <v>275</v>
      </c>
      <c r="I1" s="76" t="s">
        <v>276</v>
      </c>
      <c r="J1" s="76" t="s">
        <v>298</v>
      </c>
      <c r="K1" s="76" t="s">
        <v>277</v>
      </c>
      <c r="L1" s="76" t="s">
        <v>296</v>
      </c>
      <c r="M1" s="76" t="s">
        <v>295</v>
      </c>
    </row>
    <row r="2" spans="1:13" ht="16.5" x14ac:dyDescent="0.3">
      <c r="A2" t="s">
        <v>278</v>
      </c>
      <c r="B2">
        <v>23003015</v>
      </c>
      <c r="C2" t="s">
        <v>279</v>
      </c>
      <c r="D2" s="60">
        <v>691950</v>
      </c>
      <c r="E2">
        <v>1.1200000000000001</v>
      </c>
      <c r="F2" s="60">
        <f>ROUND(((D2*E2/100)),0)</f>
        <v>7750</v>
      </c>
      <c r="G2" s="60">
        <f>ROUND((F2/12),0)</f>
        <v>646</v>
      </c>
      <c r="H2" s="60">
        <v>1530</v>
      </c>
      <c r="I2" s="60">
        <f>G2*0.7</f>
        <v>452.2</v>
      </c>
      <c r="J2">
        <v>2</v>
      </c>
      <c r="K2" s="86">
        <f>J2-E2</f>
        <v>0.87999999999999989</v>
      </c>
      <c r="L2" s="77">
        <v>42822</v>
      </c>
      <c r="M2" s="85">
        <v>42634</v>
      </c>
    </row>
    <row r="3" spans="1:13" ht="14.25" x14ac:dyDescent="0.2">
      <c r="A3" t="s">
        <v>278</v>
      </c>
      <c r="B3">
        <v>32094198</v>
      </c>
      <c r="C3" t="s">
        <v>279</v>
      </c>
      <c r="D3" s="60">
        <v>966440</v>
      </c>
      <c r="E3">
        <v>1.49</v>
      </c>
      <c r="F3" s="60">
        <f>ROUND(((D3*E3/100)),0)</f>
        <v>14400</v>
      </c>
      <c r="G3" s="60">
        <f>ROUND((F3/12),0)</f>
        <v>1200</v>
      </c>
      <c r="H3" s="60">
        <v>500</v>
      </c>
      <c r="I3" s="60">
        <f>G3*0.7</f>
        <v>840</v>
      </c>
      <c r="J3">
        <v>2</v>
      </c>
      <c r="K3" s="87">
        <f>J3-E3</f>
        <v>0.51</v>
      </c>
      <c r="L3" s="85">
        <v>43187</v>
      </c>
      <c r="M3" s="85">
        <v>42634</v>
      </c>
    </row>
    <row r="4" spans="1:13" ht="14.25" x14ac:dyDescent="0.2">
      <c r="A4" t="s">
        <v>278</v>
      </c>
      <c r="B4">
        <v>37680893</v>
      </c>
      <c r="C4" t="s">
        <v>279</v>
      </c>
      <c r="D4" s="60">
        <v>502160</v>
      </c>
      <c r="E4">
        <v>1.49</v>
      </c>
      <c r="F4" s="60">
        <f>ROUND(((D4*E4/100)),0)</f>
        <v>7482</v>
      </c>
      <c r="G4" s="60">
        <f>ROUND((F4/12),0)</f>
        <v>624</v>
      </c>
      <c r="H4" s="60">
        <v>1400</v>
      </c>
      <c r="I4" s="60">
        <f>G4*0.7</f>
        <v>436.79999999999995</v>
      </c>
      <c r="J4">
        <v>2</v>
      </c>
      <c r="K4" s="87">
        <f>J4-E4</f>
        <v>0.51</v>
      </c>
      <c r="L4" s="85">
        <v>43279</v>
      </c>
      <c r="M4" s="85">
        <v>42634</v>
      </c>
    </row>
    <row r="5" spans="1:13" ht="16.5" x14ac:dyDescent="0.3">
      <c r="A5" t="s">
        <v>278</v>
      </c>
      <c r="B5">
        <v>39207354</v>
      </c>
      <c r="C5" t="s">
        <v>279</v>
      </c>
      <c r="D5" s="60">
        <v>186000</v>
      </c>
      <c r="E5">
        <v>1.32</v>
      </c>
      <c r="F5" s="60">
        <f>ROUND(((D5*E5/100)),0)</f>
        <v>2455</v>
      </c>
      <c r="G5" s="60">
        <f>ROUND((F5/12),0)</f>
        <v>205</v>
      </c>
      <c r="H5" s="60">
        <v>1400</v>
      </c>
      <c r="I5" s="60">
        <f>G5*0.7</f>
        <v>143.5</v>
      </c>
      <c r="J5">
        <v>2</v>
      </c>
      <c r="K5" s="86">
        <f>J5-E5</f>
        <v>0.67999999999999994</v>
      </c>
      <c r="L5" s="77">
        <v>43006</v>
      </c>
      <c r="M5" s="85">
        <v>42634</v>
      </c>
    </row>
    <row r="6" spans="1:13" ht="15" x14ac:dyDescent="0.25">
      <c r="C6" s="78" t="s">
        <v>280</v>
      </c>
      <c r="D6" s="79">
        <f>SUM(D2:D5)</f>
        <v>2346550</v>
      </c>
      <c r="E6" s="80"/>
      <c r="F6" s="79">
        <f>SUM(F2:F5)</f>
        <v>32087</v>
      </c>
      <c r="G6" s="79">
        <f>SUM(G2:G5)</f>
        <v>2675</v>
      </c>
      <c r="H6" s="79">
        <f>SUM(H2:H5)</f>
        <v>4830</v>
      </c>
      <c r="I6" s="79">
        <f>G6*0.7</f>
        <v>1872.4999999999998</v>
      </c>
    </row>
    <row r="7" spans="1:13" x14ac:dyDescent="0.2">
      <c r="D7" s="60"/>
      <c r="F7" s="60"/>
      <c r="G7" s="60"/>
    </row>
    <row r="8" spans="1:13" ht="16.5" x14ac:dyDescent="0.3">
      <c r="A8" t="s">
        <v>278</v>
      </c>
      <c r="B8">
        <v>39476657</v>
      </c>
      <c r="C8" t="s">
        <v>279</v>
      </c>
      <c r="D8" s="60">
        <v>493320</v>
      </c>
      <c r="E8">
        <v>1.47</v>
      </c>
      <c r="F8" s="60">
        <f>ROUND(((D8*E8/100)),0)</f>
        <v>7252</v>
      </c>
      <c r="G8" s="60">
        <f>ROUND((F8/12),0)</f>
        <v>604</v>
      </c>
      <c r="H8" s="60">
        <v>835</v>
      </c>
      <c r="I8" s="60">
        <f>G8*0.7</f>
        <v>422.79999999999995</v>
      </c>
      <c r="J8">
        <v>2</v>
      </c>
      <c r="K8">
        <f>J8-E8</f>
        <v>0.53</v>
      </c>
      <c r="L8" s="77">
        <v>43067</v>
      </c>
      <c r="M8" s="85">
        <v>42634</v>
      </c>
    </row>
    <row r="9" spans="1:13" ht="16.5" x14ac:dyDescent="0.3">
      <c r="C9" t="s">
        <v>281</v>
      </c>
      <c r="D9" s="60">
        <f>D6+D8</f>
        <v>2839870</v>
      </c>
      <c r="F9" s="60">
        <f>F6+F8</f>
        <v>39339</v>
      </c>
      <c r="G9" s="60">
        <f>G6+G8</f>
        <v>3279</v>
      </c>
      <c r="H9" s="60">
        <f>H6+H8</f>
        <v>5665</v>
      </c>
      <c r="I9" s="60">
        <f>I6+I8</f>
        <v>2295.2999999999997</v>
      </c>
      <c r="K9" s="60"/>
      <c r="L9" s="77"/>
      <c r="M9" s="77"/>
    </row>
    <row r="10" spans="1:13" ht="15" x14ac:dyDescent="0.25">
      <c r="A10" s="76" t="s">
        <v>282</v>
      </c>
      <c r="C10" t="s">
        <v>285</v>
      </c>
      <c r="D10" s="60">
        <v>2079000</v>
      </c>
      <c r="E10">
        <v>1.46</v>
      </c>
      <c r="F10" s="60">
        <f>ROUND(((D10*E10/100)),0)</f>
        <v>30353</v>
      </c>
      <c r="G10" s="60">
        <f>ROUND((F10/12),0)</f>
        <v>2529</v>
      </c>
      <c r="H10" s="60">
        <v>2611</v>
      </c>
      <c r="I10" s="60">
        <f>G10*0.7</f>
        <v>1770.3</v>
      </c>
      <c r="K10" s="60"/>
    </row>
    <row r="11" spans="1:13" ht="15" x14ac:dyDescent="0.25">
      <c r="A11" s="76"/>
      <c r="C11" s="78" t="s">
        <v>283</v>
      </c>
      <c r="D11" s="79">
        <f>D8+D10</f>
        <v>2572320</v>
      </c>
      <c r="E11" s="80"/>
      <c r="F11" s="79">
        <f>F8+F10</f>
        <v>37605</v>
      </c>
      <c r="G11" s="79">
        <f>G8+G10</f>
        <v>3133</v>
      </c>
      <c r="H11" s="79">
        <f>H8+H10</f>
        <v>3446</v>
      </c>
      <c r="I11" s="79">
        <f>G11*0.7</f>
        <v>2193.1</v>
      </c>
    </row>
    <row r="12" spans="1:13" ht="15" x14ac:dyDescent="0.25">
      <c r="A12" s="76"/>
      <c r="C12" s="81" t="s">
        <v>284</v>
      </c>
      <c r="D12" s="82">
        <f>D6+D11</f>
        <v>4918870</v>
      </c>
      <c r="E12" s="81"/>
      <c r="F12" s="82">
        <f>F6+F11</f>
        <v>69692</v>
      </c>
      <c r="G12" s="82">
        <f>G6+G11</f>
        <v>5808</v>
      </c>
      <c r="H12" s="82">
        <f>H6+H11</f>
        <v>8276</v>
      </c>
      <c r="I12" s="82">
        <f>G12*0.7</f>
        <v>4065.6</v>
      </c>
    </row>
    <row r="13" spans="1:13" ht="15" x14ac:dyDescent="0.25">
      <c r="A13" s="76"/>
      <c r="C13" s="76"/>
      <c r="D13" s="60"/>
      <c r="E13" s="76"/>
      <c r="F13" s="60"/>
      <c r="G13" s="60"/>
    </row>
    <row r="14" spans="1:13" ht="15" x14ac:dyDescent="0.25">
      <c r="A14" s="76"/>
      <c r="C14" s="51" t="s">
        <v>299</v>
      </c>
      <c r="E14" s="76"/>
      <c r="F14" s="60"/>
      <c r="G14" s="60"/>
    </row>
    <row r="15" spans="1:13" x14ac:dyDescent="0.2">
      <c r="C15" t="s">
        <v>297</v>
      </c>
      <c r="I15" s="51" t="s">
        <v>46</v>
      </c>
    </row>
    <row r="16" spans="1:13" x14ac:dyDescent="0.2">
      <c r="I16" s="51" t="s">
        <v>46</v>
      </c>
    </row>
    <row r="18" spans="1:6" x14ac:dyDescent="0.2">
      <c r="A18" t="s">
        <v>286</v>
      </c>
    </row>
    <row r="19" spans="1:6" x14ac:dyDescent="0.2">
      <c r="A19" t="s">
        <v>287</v>
      </c>
    </row>
    <row r="20" spans="1:6" x14ac:dyDescent="0.2">
      <c r="A20" t="s">
        <v>288</v>
      </c>
    </row>
    <row r="21" spans="1:6" x14ac:dyDescent="0.2">
      <c r="A21" t="s">
        <v>289</v>
      </c>
    </row>
    <row r="23" spans="1:6" x14ac:dyDescent="0.2">
      <c r="A23" t="s">
        <v>290</v>
      </c>
      <c r="B23" s="60">
        <v>5200000</v>
      </c>
    </row>
    <row r="24" spans="1:6" x14ac:dyDescent="0.2">
      <c r="A24" s="83">
        <v>0.02</v>
      </c>
      <c r="B24" s="60">
        <f>B23*0.02</f>
        <v>104000</v>
      </c>
      <c r="C24" s="60">
        <f>B24/12</f>
        <v>8666.6666666666661</v>
      </c>
    </row>
    <row r="25" spans="1:6" x14ac:dyDescent="0.2">
      <c r="A25" s="83">
        <v>0.01</v>
      </c>
      <c r="B25" s="60">
        <f>B24*0.02</f>
        <v>2080</v>
      </c>
      <c r="C25" s="60">
        <f>B25/12</f>
        <v>173.33333333333334</v>
      </c>
    </row>
    <row r="27" spans="1:6" x14ac:dyDescent="0.2">
      <c r="D27" t="s">
        <v>291</v>
      </c>
      <c r="E27" t="s">
        <v>102</v>
      </c>
      <c r="F27" t="s">
        <v>292</v>
      </c>
    </row>
    <row r="28" spans="1:6" x14ac:dyDescent="0.2">
      <c r="C28" t="s">
        <v>293</v>
      </c>
      <c r="D28" s="60">
        <v>5200000</v>
      </c>
      <c r="E28" s="60">
        <v>2900000</v>
      </c>
      <c r="F28" s="84">
        <f>E28/D28</f>
        <v>0.55769230769230771</v>
      </c>
    </row>
    <row r="29" spans="1:6" x14ac:dyDescent="0.2">
      <c r="C29" t="s">
        <v>294</v>
      </c>
      <c r="D29" s="60">
        <v>2650000</v>
      </c>
      <c r="E29" s="60">
        <v>2090000</v>
      </c>
      <c r="F29" s="84">
        <f>E29/D29</f>
        <v>0.78867924528301891</v>
      </c>
    </row>
  </sheetData>
  <hyperlinks>
    <hyperlink ref="B2" r:id="rId1" display="https://privat.ib.seb.se/wow/6000/6100/wow6111.aspx?P1=PCBW25814"/>
    <hyperlink ref="B3" r:id="rId2" display="https://privat.ib.seb.se/wow/6000/6100/wow6111.aspx?P1=PCBW25813"/>
    <hyperlink ref="B4" r:id="rId3" display="https://privat.ib.seb.se/wow/6000/6100/wow6111.aspx?P1=PCBW25812"/>
    <hyperlink ref="B5" r:id="rId4" display="https://privat.ib.seb.se/wow/6000/6100/wow6111.aspx?P1=PCBW25811"/>
    <hyperlink ref="B8" r:id="rId5" display="https://privat.ib.seb.se/wow/6000/6100/wow6111.aspx?P1=PCBW25810"/>
  </hyperlinks>
  <pageMargins left="0.7" right="0.7" top="0.75" bottom="0.75" header="0.3" footer="0.3"/>
  <pageSetup paperSize="9" orientation="portrait" r:id="rId6"/>
  <legacy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6"/>
  <sheetViews>
    <sheetView topLeftCell="A7" workbookViewId="0">
      <selection activeCell="G8" sqref="G8"/>
    </sheetView>
  </sheetViews>
  <sheetFormatPr defaultRowHeight="12.75" x14ac:dyDescent="0.2"/>
  <cols>
    <col min="1" max="1" width="10.140625" bestFit="1" customWidth="1"/>
    <col min="2" max="2" width="15.5703125" customWidth="1"/>
    <col min="3" max="4" width="11.5703125" customWidth="1"/>
    <col min="5" max="5" width="12.42578125" customWidth="1"/>
    <col min="6" max="6" width="16" customWidth="1"/>
    <col min="7" max="7" width="15.28515625" customWidth="1"/>
    <col min="10" max="10" width="14.5703125" customWidth="1"/>
  </cols>
  <sheetData>
    <row r="2" spans="1:8" x14ac:dyDescent="0.2">
      <c r="C2" t="s">
        <v>312</v>
      </c>
      <c r="D2" t="s">
        <v>327</v>
      </c>
      <c r="E2" t="s">
        <v>313</v>
      </c>
      <c r="F2" t="s">
        <v>311</v>
      </c>
      <c r="G2" t="s">
        <v>162</v>
      </c>
    </row>
    <row r="3" spans="1:8" x14ac:dyDescent="0.2">
      <c r="A3" s="66" t="s">
        <v>46</v>
      </c>
      <c r="B3" s="66"/>
      <c r="C3">
        <f>SUM(C4:C48)</f>
        <v>3550</v>
      </c>
      <c r="D3" s="80">
        <v>27000</v>
      </c>
      <c r="E3" s="80">
        <f>SUM(E4:E48)</f>
        <v>22707</v>
      </c>
      <c r="F3" s="80">
        <f>6*2000</f>
        <v>12000</v>
      </c>
      <c r="G3">
        <f>E3+F3</f>
        <v>34707</v>
      </c>
      <c r="H3">
        <f>C3+E3</f>
        <v>26257</v>
      </c>
    </row>
    <row r="4" spans="1:8" x14ac:dyDescent="0.2">
      <c r="A4" s="66">
        <v>42535</v>
      </c>
      <c r="B4" s="66"/>
      <c r="C4">
        <v>0</v>
      </c>
      <c r="E4">
        <v>2000</v>
      </c>
    </row>
    <row r="5" spans="1:8" x14ac:dyDescent="0.2">
      <c r="A5" s="66">
        <v>42551</v>
      </c>
      <c r="B5" s="66"/>
      <c r="C5">
        <v>500</v>
      </c>
    </row>
    <row r="6" spans="1:8" x14ac:dyDescent="0.2">
      <c r="A6" s="66">
        <v>42552</v>
      </c>
      <c r="B6" s="66"/>
      <c r="C6">
        <v>300</v>
      </c>
    </row>
    <row r="7" spans="1:8" x14ac:dyDescent="0.2">
      <c r="A7" s="66">
        <v>42556</v>
      </c>
      <c r="B7" s="66"/>
      <c r="C7">
        <v>750</v>
      </c>
    </row>
    <row r="8" spans="1:8" x14ac:dyDescent="0.2">
      <c r="A8" s="66">
        <v>42560</v>
      </c>
      <c r="B8" s="66"/>
      <c r="E8">
        <v>300</v>
      </c>
    </row>
    <row r="9" spans="1:8" x14ac:dyDescent="0.2">
      <c r="A9" s="66">
        <v>42572</v>
      </c>
      <c r="B9" s="66"/>
      <c r="E9">
        <v>300</v>
      </c>
    </row>
    <row r="10" spans="1:8" x14ac:dyDescent="0.2">
      <c r="A10" s="66">
        <v>42579</v>
      </c>
      <c r="B10" s="66"/>
      <c r="C10">
        <v>650</v>
      </c>
    </row>
    <row r="11" spans="1:8" x14ac:dyDescent="0.2">
      <c r="A11" s="66">
        <v>42579</v>
      </c>
      <c r="B11" s="66"/>
      <c r="E11">
        <v>650</v>
      </c>
    </row>
    <row r="12" spans="1:8" x14ac:dyDescent="0.2">
      <c r="A12" s="66">
        <v>42583</v>
      </c>
      <c r="B12" s="66"/>
      <c r="C12">
        <v>300</v>
      </c>
    </row>
    <row r="13" spans="1:8" x14ac:dyDescent="0.2">
      <c r="A13" s="66">
        <v>42585</v>
      </c>
      <c r="B13" s="66"/>
      <c r="E13">
        <v>500</v>
      </c>
    </row>
    <row r="14" spans="1:8" x14ac:dyDescent="0.2">
      <c r="A14" s="66">
        <v>42586</v>
      </c>
      <c r="B14" s="66"/>
      <c r="E14">
        <v>500</v>
      </c>
    </row>
    <row r="15" spans="1:8" x14ac:dyDescent="0.2">
      <c r="A15" s="66">
        <v>42590</v>
      </c>
      <c r="B15" s="66"/>
      <c r="C15">
        <v>300</v>
      </c>
    </row>
    <row r="16" spans="1:8" x14ac:dyDescent="0.2">
      <c r="A16" s="66">
        <v>42603</v>
      </c>
      <c r="B16" s="66"/>
      <c r="E16">
        <v>500</v>
      </c>
    </row>
    <row r="17" spans="1:5" x14ac:dyDescent="0.2">
      <c r="A17" s="66">
        <v>42610</v>
      </c>
      <c r="B17" s="66"/>
      <c r="E17">
        <v>2000</v>
      </c>
    </row>
    <row r="18" spans="1:5" x14ac:dyDescent="0.2">
      <c r="A18" s="66">
        <v>42612</v>
      </c>
      <c r="B18" s="66"/>
      <c r="C18" s="66"/>
      <c r="D18" s="66"/>
      <c r="E18">
        <v>300</v>
      </c>
    </row>
    <row r="19" spans="1:5" x14ac:dyDescent="0.2">
      <c r="A19" s="66">
        <v>42613</v>
      </c>
      <c r="B19" s="66"/>
      <c r="E19">
        <v>500</v>
      </c>
    </row>
    <row r="20" spans="1:5" x14ac:dyDescent="0.2">
      <c r="A20" s="66">
        <v>42620</v>
      </c>
      <c r="B20" s="66"/>
      <c r="E20">
        <v>500</v>
      </c>
    </row>
    <row r="21" spans="1:5" x14ac:dyDescent="0.2">
      <c r="A21" s="66">
        <v>42621</v>
      </c>
      <c r="B21" s="66"/>
      <c r="E21">
        <v>500</v>
      </c>
    </row>
    <row r="22" spans="1:5" x14ac:dyDescent="0.2">
      <c r="A22" s="66">
        <v>42629</v>
      </c>
      <c r="B22" s="66"/>
      <c r="C22">
        <v>500</v>
      </c>
    </row>
    <row r="23" spans="1:5" x14ac:dyDescent="0.2">
      <c r="A23" s="66">
        <v>42631</v>
      </c>
      <c r="B23" s="66"/>
      <c r="E23">
        <v>400</v>
      </c>
    </row>
    <row r="24" spans="1:5" x14ac:dyDescent="0.2">
      <c r="A24" s="66">
        <v>42633</v>
      </c>
      <c r="B24" s="66"/>
      <c r="E24">
        <v>200</v>
      </c>
    </row>
    <row r="25" spans="1:5" x14ac:dyDescent="0.2">
      <c r="A25" s="66">
        <v>42637</v>
      </c>
      <c r="B25" s="66"/>
      <c r="E25">
        <v>300</v>
      </c>
    </row>
    <row r="26" spans="1:5" x14ac:dyDescent="0.2">
      <c r="A26" s="66">
        <v>42640</v>
      </c>
      <c r="B26" s="66"/>
      <c r="E26">
        <v>300</v>
      </c>
    </row>
    <row r="27" spans="1:5" x14ac:dyDescent="0.2">
      <c r="A27" s="66">
        <v>42642</v>
      </c>
      <c r="B27" s="66"/>
      <c r="E27">
        <v>1400</v>
      </c>
    </row>
    <row r="28" spans="1:5" x14ac:dyDescent="0.2">
      <c r="A28" s="66">
        <v>42642</v>
      </c>
      <c r="B28" s="66"/>
      <c r="E28">
        <v>1000</v>
      </c>
    </row>
    <row r="29" spans="1:5" x14ac:dyDescent="0.2">
      <c r="A29" s="66">
        <v>42661</v>
      </c>
      <c r="B29" s="66"/>
      <c r="E29">
        <v>500</v>
      </c>
    </row>
    <row r="30" spans="1:5" x14ac:dyDescent="0.2">
      <c r="A30" s="66">
        <v>42672</v>
      </c>
      <c r="B30" s="66"/>
      <c r="E30">
        <v>1000</v>
      </c>
    </row>
    <row r="31" spans="1:5" x14ac:dyDescent="0.2">
      <c r="A31" s="66">
        <v>42675</v>
      </c>
      <c r="B31" t="s">
        <v>309</v>
      </c>
      <c r="E31">
        <v>4557</v>
      </c>
    </row>
    <row r="32" spans="1:5" x14ac:dyDescent="0.2">
      <c r="A32" s="66">
        <v>42682</v>
      </c>
      <c r="B32" s="66"/>
      <c r="E32">
        <v>2000</v>
      </c>
    </row>
    <row r="33" spans="1:5" x14ac:dyDescent="0.2">
      <c r="A33" s="66">
        <v>42692</v>
      </c>
      <c r="B33" s="66"/>
      <c r="E33">
        <v>500</v>
      </c>
    </row>
    <row r="34" spans="1:5" x14ac:dyDescent="0.2">
      <c r="A34" s="66">
        <v>42700</v>
      </c>
      <c r="B34" s="66"/>
      <c r="C34">
        <v>250</v>
      </c>
    </row>
    <row r="35" spans="1:5" x14ac:dyDescent="0.2">
      <c r="A35" s="66">
        <v>42705</v>
      </c>
      <c r="B35" s="66"/>
      <c r="E35">
        <v>500</v>
      </c>
    </row>
    <row r="36" spans="1:5" x14ac:dyDescent="0.2">
      <c r="A36" s="66">
        <v>42717</v>
      </c>
      <c r="B36" s="66"/>
      <c r="E36">
        <v>1500</v>
      </c>
    </row>
  </sheetData>
  <phoneticPr fontId="24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22" sqref="A22"/>
    </sheetView>
  </sheetViews>
  <sheetFormatPr defaultRowHeight="12.75" x14ac:dyDescent="0.2"/>
  <sheetData>
    <row r="1" spans="1:3" ht="15" x14ac:dyDescent="0.25">
      <c r="A1" s="70" t="s">
        <v>266</v>
      </c>
      <c r="B1" s="70"/>
      <c r="C1" s="70"/>
    </row>
    <row r="3" spans="1:3" ht="15" x14ac:dyDescent="0.25">
      <c r="A3" s="70" t="s">
        <v>267</v>
      </c>
      <c r="B3" s="70" t="s">
        <v>234</v>
      </c>
      <c r="C3" s="70" t="s">
        <v>103</v>
      </c>
    </row>
    <row r="4" spans="1:3" ht="15" x14ac:dyDescent="0.25">
      <c r="A4" s="71">
        <v>2187</v>
      </c>
      <c r="B4" s="70">
        <v>1530</v>
      </c>
      <c r="C4" s="71">
        <v>657</v>
      </c>
    </row>
    <row r="5" spans="1:3" ht="15" x14ac:dyDescent="0.25">
      <c r="A5" s="71">
        <v>1407</v>
      </c>
      <c r="B5" s="70">
        <v>500</v>
      </c>
      <c r="C5" s="71">
        <v>907</v>
      </c>
    </row>
    <row r="6" spans="1:3" ht="15" x14ac:dyDescent="0.25">
      <c r="A6" s="71">
        <v>1879</v>
      </c>
      <c r="B6" s="70">
        <v>1400</v>
      </c>
      <c r="C6" s="71">
        <v>479</v>
      </c>
    </row>
    <row r="7" spans="1:3" ht="15" x14ac:dyDescent="0.25">
      <c r="A7" s="71">
        <v>1616</v>
      </c>
      <c r="B7" s="70">
        <v>1400</v>
      </c>
      <c r="C7" s="71">
        <v>216</v>
      </c>
    </row>
    <row r="8" spans="1:3" ht="15" x14ac:dyDescent="0.25">
      <c r="A8" s="71">
        <v>7089</v>
      </c>
      <c r="B8" s="71">
        <v>4830</v>
      </c>
      <c r="C8" s="71">
        <v>2259</v>
      </c>
    </row>
    <row r="10" spans="1:3" ht="15" x14ac:dyDescent="0.25">
      <c r="A10" s="70" t="s">
        <v>268</v>
      </c>
      <c r="B10" s="70"/>
      <c r="C10" s="70"/>
    </row>
    <row r="12" spans="1:3" ht="15" x14ac:dyDescent="0.25">
      <c r="A12" s="71">
        <v>1474</v>
      </c>
      <c r="B12" s="70">
        <v>835</v>
      </c>
      <c r="C12" s="71">
        <v>639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3"/>
  <sheetViews>
    <sheetView zoomScale="87" zoomScaleNormal="87" workbookViewId="0">
      <selection activeCell="B2" sqref="B2"/>
    </sheetView>
  </sheetViews>
  <sheetFormatPr defaultRowHeight="12.75" x14ac:dyDescent="0.2"/>
  <cols>
    <col min="1" max="1" width="12.42578125" customWidth="1"/>
    <col min="2" max="2" width="32.28515625" customWidth="1"/>
    <col min="4" max="4" width="12.7109375" customWidth="1"/>
    <col min="7" max="7" width="9.140625" customWidth="1"/>
    <col min="8" max="8" width="9.140625" style="2" customWidth="1"/>
    <col min="9" max="16" width="9.140625" customWidth="1"/>
  </cols>
  <sheetData>
    <row r="1" spans="1:22" x14ac:dyDescent="0.2">
      <c r="B1" s="38" t="s">
        <v>46</v>
      </c>
      <c r="C1" s="2"/>
      <c r="D1" s="2"/>
      <c r="E1" s="2"/>
      <c r="F1" s="2"/>
      <c r="G1" s="65"/>
      <c r="I1" s="2"/>
      <c r="J1" s="2"/>
      <c r="K1" s="2"/>
      <c r="L1" s="2"/>
      <c r="M1" s="2"/>
      <c r="N1" s="2" t="s">
        <v>46</v>
      </c>
      <c r="O1" s="2" t="s">
        <v>46</v>
      </c>
      <c r="P1" s="2" t="s">
        <v>46</v>
      </c>
      <c r="Q1" s="2" t="s">
        <v>46</v>
      </c>
      <c r="R1" s="2" t="s">
        <v>46</v>
      </c>
      <c r="S1" s="2"/>
      <c r="T1" s="2"/>
      <c r="U1" s="2"/>
      <c r="V1" s="2"/>
    </row>
    <row r="2" spans="1:22" x14ac:dyDescent="0.2">
      <c r="B2" s="2" t="s">
        <v>18</v>
      </c>
      <c r="C2" s="2">
        <v>12</v>
      </c>
      <c r="D2" s="2"/>
      <c r="F2" s="2"/>
      <c r="G2" s="2"/>
      <c r="I2" s="1"/>
      <c r="J2" s="2"/>
      <c r="K2" s="1"/>
      <c r="L2" s="1"/>
      <c r="M2" s="1"/>
      <c r="N2" s="1"/>
      <c r="O2" s="1"/>
      <c r="P2" s="1"/>
      <c r="Q2" s="1"/>
      <c r="R2" s="2"/>
      <c r="S2" s="2"/>
      <c r="T2" s="2"/>
      <c r="U2" s="2"/>
      <c r="V2" s="2"/>
    </row>
    <row r="3" spans="1:22" x14ac:dyDescent="0.2">
      <c r="B3" s="2" t="s">
        <v>79</v>
      </c>
      <c r="C3" s="2"/>
      <c r="D3" s="2"/>
      <c r="E3" s="2"/>
      <c r="F3" s="2"/>
      <c r="G3" s="2">
        <f>G5</f>
        <v>13093</v>
      </c>
      <c r="H3" s="2">
        <f t="shared" ref="H3:R3" si="0">G3+H5</f>
        <v>-4270</v>
      </c>
      <c r="I3" s="2">
        <f t="shared" si="0"/>
        <v>-10415</v>
      </c>
      <c r="J3" s="2">
        <f t="shared" si="0"/>
        <v>-8015</v>
      </c>
      <c r="K3" s="2">
        <f t="shared" si="0"/>
        <v>-21395</v>
      </c>
      <c r="L3" s="2">
        <f t="shared" si="0"/>
        <v>-42524</v>
      </c>
      <c r="M3" s="2">
        <f t="shared" si="0"/>
        <v>-44480</v>
      </c>
      <c r="N3" s="2">
        <f t="shared" si="0"/>
        <v>-48506</v>
      </c>
      <c r="O3" s="2">
        <f t="shared" si="0"/>
        <v>-57898</v>
      </c>
      <c r="P3" s="2">
        <f t="shared" si="0"/>
        <v>-34875</v>
      </c>
      <c r="Q3" s="2">
        <f t="shared" si="0"/>
        <v>-65341</v>
      </c>
      <c r="R3" s="2">
        <f t="shared" si="0"/>
        <v>-63625</v>
      </c>
      <c r="S3" s="2"/>
      <c r="T3" s="2"/>
      <c r="U3" s="2"/>
      <c r="V3" s="2"/>
    </row>
    <row r="4" spans="1:22" x14ac:dyDescent="0.2">
      <c r="B4" s="2" t="s">
        <v>29</v>
      </c>
      <c r="C4" s="2"/>
      <c r="D4" s="2"/>
      <c r="E4" s="2">
        <v>56000</v>
      </c>
      <c r="F4" s="2">
        <f>ROUND(SUM(G4:R4)/C2,0)</f>
        <v>59568</v>
      </c>
      <c r="G4" s="2">
        <f>32516+25025</f>
        <v>57541</v>
      </c>
      <c r="H4" s="2">
        <f>32816+25025</f>
        <v>57841</v>
      </c>
      <c r="I4" s="2">
        <f>32816+25025</f>
        <v>57841</v>
      </c>
      <c r="J4" s="2">
        <f>41668+25025</f>
        <v>66693</v>
      </c>
      <c r="K4" s="2">
        <f>33592+26105</f>
        <v>59697</v>
      </c>
      <c r="L4" s="2">
        <f>37304+25025</f>
        <v>62329</v>
      </c>
      <c r="M4" s="2">
        <f>33212+25569</f>
        <v>58781</v>
      </c>
      <c r="N4" s="2">
        <f>36116+25025</f>
        <v>61141</v>
      </c>
      <c r="O4" s="2">
        <f>33212+25025</f>
        <v>58237</v>
      </c>
      <c r="P4" s="2">
        <f>33212+25025</f>
        <v>58237</v>
      </c>
      <c r="Q4" s="2">
        <f>33212+25025</f>
        <v>58237</v>
      </c>
      <c r="R4" s="2">
        <f>33212+25025</f>
        <v>58237</v>
      </c>
      <c r="S4" s="2"/>
      <c r="T4" s="2"/>
      <c r="U4" s="2"/>
      <c r="V4" s="2"/>
    </row>
    <row r="5" spans="1:22" x14ac:dyDescent="0.2">
      <c r="B5" s="2" t="s">
        <v>32</v>
      </c>
      <c r="C5" s="2"/>
      <c r="D5" s="2"/>
      <c r="E5" s="2"/>
      <c r="F5" s="33">
        <f>ROUND(SUM(G5:R5)/C2,0)</f>
        <v>-5302</v>
      </c>
      <c r="G5" s="64">
        <f>G4-G8</f>
        <v>13093</v>
      </c>
      <c r="H5" s="52">
        <f>H4-H8</f>
        <v>-17363</v>
      </c>
      <c r="I5" s="52">
        <f>I4-I8</f>
        <v>-6145</v>
      </c>
      <c r="J5" s="64">
        <f t="shared" ref="J5:R5" si="1">J4-J8</f>
        <v>2400</v>
      </c>
      <c r="K5" s="52">
        <f t="shared" si="1"/>
        <v>-13380</v>
      </c>
      <c r="L5" s="52">
        <f t="shared" si="1"/>
        <v>-21129</v>
      </c>
      <c r="M5" s="52">
        <f t="shared" si="1"/>
        <v>-1956</v>
      </c>
      <c r="N5" s="52">
        <f t="shared" si="1"/>
        <v>-4026</v>
      </c>
      <c r="O5" s="52">
        <f t="shared" si="1"/>
        <v>-9392</v>
      </c>
      <c r="P5" s="64">
        <f t="shared" si="1"/>
        <v>23023</v>
      </c>
      <c r="Q5" s="52">
        <f t="shared" si="1"/>
        <v>-30466</v>
      </c>
      <c r="R5" s="64">
        <f t="shared" si="1"/>
        <v>1716</v>
      </c>
      <c r="S5" s="2"/>
      <c r="T5" s="2"/>
      <c r="U5" s="2"/>
      <c r="V5" s="2"/>
    </row>
    <row r="6" spans="1:22" x14ac:dyDescent="0.2">
      <c r="B6" s="2"/>
      <c r="C6" s="2"/>
      <c r="D6" s="2"/>
      <c r="E6" s="2"/>
      <c r="F6" s="33"/>
      <c r="G6" s="2"/>
      <c r="H6" s="52">
        <f t="shared" ref="H6:R6" si="2">G5+H5</f>
        <v>-4270</v>
      </c>
      <c r="I6" s="52">
        <f t="shared" si="2"/>
        <v>-23508</v>
      </c>
      <c r="J6" s="52">
        <f t="shared" si="2"/>
        <v>-3745</v>
      </c>
      <c r="K6" s="52">
        <f t="shared" si="2"/>
        <v>-10980</v>
      </c>
      <c r="L6" s="52">
        <f t="shared" si="2"/>
        <v>-34509</v>
      </c>
      <c r="M6" s="64">
        <f t="shared" si="2"/>
        <v>-23085</v>
      </c>
      <c r="N6" s="52">
        <f t="shared" si="2"/>
        <v>-5982</v>
      </c>
      <c r="O6" s="52">
        <f t="shared" si="2"/>
        <v>-13418</v>
      </c>
      <c r="P6" s="64">
        <f t="shared" si="2"/>
        <v>13631</v>
      </c>
      <c r="Q6" s="52">
        <f t="shared" si="2"/>
        <v>-7443</v>
      </c>
      <c r="R6" s="52">
        <f t="shared" si="2"/>
        <v>-28750</v>
      </c>
      <c r="S6" s="2"/>
      <c r="T6" s="2"/>
      <c r="U6" s="2"/>
      <c r="V6" s="2"/>
    </row>
    <row r="7" spans="1:22" x14ac:dyDescent="0.2">
      <c r="B7" s="3" t="s">
        <v>0</v>
      </c>
      <c r="C7" s="3"/>
      <c r="D7" s="3"/>
      <c r="E7" s="4" t="s">
        <v>1</v>
      </c>
      <c r="F7" s="7" t="s">
        <v>5</v>
      </c>
      <c r="G7" s="5" t="s">
        <v>6</v>
      </c>
      <c r="H7" s="11" t="s">
        <v>7</v>
      </c>
      <c r="I7" s="4" t="s">
        <v>8</v>
      </c>
      <c r="J7" s="5" t="s">
        <v>9</v>
      </c>
      <c r="K7" s="5" t="s">
        <v>10</v>
      </c>
      <c r="L7" s="5" t="s">
        <v>11</v>
      </c>
      <c r="M7" s="5" t="s">
        <v>12</v>
      </c>
      <c r="N7" s="5" t="s">
        <v>13</v>
      </c>
      <c r="O7" s="5" t="s">
        <v>14</v>
      </c>
      <c r="P7" s="5" t="s">
        <v>192</v>
      </c>
      <c r="Q7" s="5" t="s">
        <v>16</v>
      </c>
      <c r="R7" s="5" t="s">
        <v>17</v>
      </c>
      <c r="S7" s="3"/>
      <c r="T7" s="3"/>
      <c r="U7" s="2"/>
      <c r="V7" s="2"/>
    </row>
    <row r="8" spans="1:22" x14ac:dyDescent="0.2">
      <c r="B8" s="47" t="s">
        <v>26</v>
      </c>
      <c r="C8" s="48"/>
      <c r="D8" s="48"/>
      <c r="E8" s="49"/>
      <c r="F8" s="48">
        <f>ROUND(SUM(H8:R8)/C2,0)</f>
        <v>61166</v>
      </c>
      <c r="G8" s="49">
        <f t="shared" ref="G8:R8" si="3">SUM(G9:G44)</f>
        <v>44448</v>
      </c>
      <c r="H8" s="49">
        <f t="shared" si="3"/>
        <v>75204</v>
      </c>
      <c r="I8" s="49">
        <f t="shared" si="3"/>
        <v>63986</v>
      </c>
      <c r="J8" s="49">
        <f t="shared" si="3"/>
        <v>64293</v>
      </c>
      <c r="K8" s="49">
        <f t="shared" si="3"/>
        <v>73077</v>
      </c>
      <c r="L8" s="49">
        <f t="shared" si="3"/>
        <v>83458</v>
      </c>
      <c r="M8" s="49">
        <f t="shared" si="3"/>
        <v>60737</v>
      </c>
      <c r="N8" s="49">
        <f t="shared" si="3"/>
        <v>65167</v>
      </c>
      <c r="O8" s="49">
        <f t="shared" si="3"/>
        <v>67629</v>
      </c>
      <c r="P8" s="49">
        <f t="shared" si="3"/>
        <v>35214</v>
      </c>
      <c r="Q8" s="49">
        <f t="shared" si="3"/>
        <v>88703</v>
      </c>
      <c r="R8" s="49">
        <f t="shared" si="3"/>
        <v>56521</v>
      </c>
      <c r="S8" s="3"/>
      <c r="T8" s="3"/>
      <c r="U8" s="2"/>
      <c r="V8" s="2"/>
    </row>
    <row r="9" spans="1:22" x14ac:dyDescent="0.2">
      <c r="A9" t="s">
        <v>113</v>
      </c>
      <c r="B9" s="45" t="s">
        <v>227</v>
      </c>
      <c r="C9" s="45" t="s">
        <v>232</v>
      </c>
      <c r="D9" s="45"/>
      <c r="E9" s="45">
        <v>4700</v>
      </c>
      <c r="F9" s="62">
        <f t="shared" ref="F9:F44" si="4">ROUND(SUM(G9:R9)/noMonths,0)</f>
        <v>2790</v>
      </c>
      <c r="G9" s="2">
        <f>6242-G10</f>
        <v>3312</v>
      </c>
      <c r="H9" s="2">
        <f>6471-H10</f>
        <v>3541</v>
      </c>
      <c r="I9" s="2">
        <f>6466-I10</f>
        <v>3536</v>
      </c>
      <c r="J9" s="2">
        <f>8439-J10</f>
        <v>2509</v>
      </c>
      <c r="K9" s="2">
        <f>8692-K10</f>
        <v>2762</v>
      </c>
      <c r="L9" s="2">
        <f>8684-L10</f>
        <v>2754</v>
      </c>
      <c r="M9" s="2">
        <f>7938-M10</f>
        <v>2008</v>
      </c>
      <c r="N9" s="69">
        <f>8144-N10</f>
        <v>2214</v>
      </c>
      <c r="O9" s="69">
        <f>8139-O10</f>
        <v>2209</v>
      </c>
      <c r="P9" s="69">
        <f>10161-P10</f>
        <v>2831</v>
      </c>
      <c r="Q9" s="69">
        <f>9918-Q10</f>
        <v>2588</v>
      </c>
      <c r="R9" s="69">
        <f>11382-R10</f>
        <v>3217</v>
      </c>
      <c r="S9" s="2"/>
      <c r="T9" s="2"/>
      <c r="U9" s="2"/>
      <c r="V9" s="2"/>
    </row>
    <row r="10" spans="1:22" x14ac:dyDescent="0.2">
      <c r="A10" t="s">
        <v>113</v>
      </c>
      <c r="B10" s="45" t="s">
        <v>228</v>
      </c>
      <c r="C10" s="45" t="s">
        <v>232</v>
      </c>
      <c r="D10" s="45"/>
      <c r="E10" s="45">
        <v>3000</v>
      </c>
      <c r="F10" s="62">
        <f t="shared" si="4"/>
        <v>5600</v>
      </c>
      <c r="G10" s="2">
        <f>1530+1400</f>
        <v>2930</v>
      </c>
      <c r="H10" s="2">
        <f>1530+1400</f>
        <v>2930</v>
      </c>
      <c r="I10" s="2">
        <f>1530+1400</f>
        <v>2930</v>
      </c>
      <c r="J10" s="2">
        <f t="shared" ref="J10:O10" si="5">1530+3000+1400</f>
        <v>5930</v>
      </c>
      <c r="K10" s="2">
        <f t="shared" si="5"/>
        <v>5930</v>
      </c>
      <c r="L10" s="2">
        <f t="shared" si="5"/>
        <v>5930</v>
      </c>
      <c r="M10" s="2">
        <f t="shared" si="5"/>
        <v>5930</v>
      </c>
      <c r="N10" s="2">
        <f t="shared" si="5"/>
        <v>5930</v>
      </c>
      <c r="O10" s="2">
        <f t="shared" si="5"/>
        <v>5930</v>
      </c>
      <c r="P10" s="2">
        <f>1530+3000+1400+1400</f>
        <v>7330</v>
      </c>
      <c r="Q10" s="2">
        <f>1530+3000+1400+1400</f>
        <v>7330</v>
      </c>
      <c r="R10" s="2">
        <f>1530+3000+1400+1400+835</f>
        <v>8165</v>
      </c>
      <c r="S10" s="2"/>
      <c r="T10" s="2"/>
      <c r="U10" s="2"/>
      <c r="V10" s="2"/>
    </row>
    <row r="11" spans="1:22" x14ac:dyDescent="0.2">
      <c r="A11" t="s">
        <v>113</v>
      </c>
      <c r="B11" s="45" t="s">
        <v>195</v>
      </c>
      <c r="C11" s="45" t="s">
        <v>232</v>
      </c>
      <c r="D11" s="45"/>
      <c r="E11" s="52">
        <v>1850</v>
      </c>
      <c r="F11" s="62">
        <f t="shared" si="4"/>
        <v>1992</v>
      </c>
      <c r="G11" s="2">
        <f>3666+1360</f>
        <v>5026</v>
      </c>
      <c r="H11" s="2">
        <v>0</v>
      </c>
      <c r="I11" s="2">
        <f>4234+1533</f>
        <v>5767</v>
      </c>
      <c r="J11" s="2">
        <v>0</v>
      </c>
      <c r="K11" s="2">
        <f>2623+1071</f>
        <v>3694</v>
      </c>
      <c r="L11" s="2">
        <v>0</v>
      </c>
      <c r="M11" s="2">
        <f>1818+860</f>
        <v>2678</v>
      </c>
      <c r="N11" s="2">
        <v>0</v>
      </c>
      <c r="O11" s="2">
        <f>2331+659+1260</f>
        <v>4250</v>
      </c>
      <c r="P11" s="2">
        <v>0</v>
      </c>
      <c r="Q11" s="2">
        <f>1683+805</f>
        <v>2488</v>
      </c>
      <c r="R11" s="2">
        <v>0</v>
      </c>
      <c r="S11" s="2"/>
      <c r="T11" s="2"/>
      <c r="U11" s="2"/>
      <c r="V11" s="2"/>
    </row>
    <row r="12" spans="1:22" x14ac:dyDescent="0.2">
      <c r="A12" t="s">
        <v>113</v>
      </c>
      <c r="B12" s="45" t="s">
        <v>196</v>
      </c>
      <c r="C12" s="45" t="s">
        <v>232</v>
      </c>
      <c r="D12" s="45"/>
      <c r="E12" s="63">
        <v>562</v>
      </c>
      <c r="F12" s="62">
        <f t="shared" si="4"/>
        <v>551</v>
      </c>
      <c r="G12" s="2">
        <v>0</v>
      </c>
      <c r="H12" s="2">
        <v>0</v>
      </c>
      <c r="I12" s="2">
        <v>2104</v>
      </c>
      <c r="J12" s="2">
        <v>0</v>
      </c>
      <c r="K12" s="2">
        <v>0</v>
      </c>
      <c r="L12" s="2">
        <v>2215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2289</v>
      </c>
      <c r="S12" s="2"/>
      <c r="T12" s="2"/>
      <c r="U12" s="2"/>
      <c r="V12" s="2"/>
    </row>
    <row r="13" spans="1:22" x14ac:dyDescent="0.2">
      <c r="A13" t="s">
        <v>113</v>
      </c>
      <c r="B13" s="45" t="s">
        <v>197</v>
      </c>
      <c r="C13" s="45" t="s">
        <v>232</v>
      </c>
      <c r="D13" s="45" t="s">
        <v>237</v>
      </c>
      <c r="E13" s="45">
        <v>373</v>
      </c>
      <c r="F13" s="62">
        <f t="shared" si="4"/>
        <v>347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f>4169</f>
        <v>4169</v>
      </c>
      <c r="P13" s="2">
        <v>0</v>
      </c>
      <c r="Q13" s="2">
        <v>0</v>
      </c>
      <c r="R13" s="2">
        <v>0</v>
      </c>
      <c r="S13" s="2"/>
      <c r="T13" s="2" t="s">
        <v>46</v>
      </c>
      <c r="U13" s="2"/>
      <c r="V13" s="2"/>
    </row>
    <row r="14" spans="1:22" x14ac:dyDescent="0.2">
      <c r="A14" t="s">
        <v>113</v>
      </c>
      <c r="B14" s="45" t="s">
        <v>198</v>
      </c>
      <c r="C14" s="45" t="s">
        <v>232</v>
      </c>
      <c r="D14" s="45"/>
      <c r="E14" s="45">
        <v>74</v>
      </c>
      <c r="F14" s="62">
        <f t="shared" si="4"/>
        <v>134</v>
      </c>
      <c r="G14" s="2">
        <v>100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1503</v>
      </c>
      <c r="R14" s="2">
        <v>0</v>
      </c>
      <c r="S14" s="2"/>
      <c r="T14" s="2"/>
      <c r="U14" s="2"/>
      <c r="V14" s="2"/>
    </row>
    <row r="15" spans="1:22" x14ac:dyDescent="0.2">
      <c r="A15" t="s">
        <v>113</v>
      </c>
      <c r="B15" s="45" t="s">
        <v>199</v>
      </c>
      <c r="C15" s="45" t="s">
        <v>232</v>
      </c>
      <c r="D15" s="45" t="s">
        <v>238</v>
      </c>
      <c r="E15" s="63">
        <v>295</v>
      </c>
      <c r="F15" s="62">
        <f t="shared" si="4"/>
        <v>366</v>
      </c>
      <c r="G15" s="2">
        <v>0</v>
      </c>
      <c r="H15" s="2">
        <f>928</f>
        <v>928</v>
      </c>
      <c r="I15" s="2">
        <v>0</v>
      </c>
      <c r="J15" s="2">
        <v>0</v>
      </c>
      <c r="K15" s="2">
        <v>927</v>
      </c>
      <c r="L15" s="2">
        <v>539</v>
      </c>
      <c r="M15" s="2">
        <v>0</v>
      </c>
      <c r="N15" s="2">
        <v>1000</v>
      </c>
      <c r="O15" s="2">
        <v>0</v>
      </c>
      <c r="P15" s="2">
        <v>0</v>
      </c>
      <c r="Q15" s="2">
        <v>1000</v>
      </c>
      <c r="R15" s="2">
        <v>0</v>
      </c>
      <c r="S15" s="2"/>
      <c r="T15" s="2"/>
      <c r="U15" s="2"/>
      <c r="V15" s="2"/>
    </row>
    <row r="16" spans="1:22" x14ac:dyDescent="0.2">
      <c r="A16" t="s">
        <v>113</v>
      </c>
      <c r="B16" s="45" t="s">
        <v>231</v>
      </c>
      <c r="C16" s="45" t="s">
        <v>232</v>
      </c>
      <c r="D16" s="45" t="s">
        <v>239</v>
      </c>
      <c r="E16" s="45">
        <v>35</v>
      </c>
      <c r="F16" s="62">
        <f t="shared" si="4"/>
        <v>35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425</v>
      </c>
      <c r="R16" s="2">
        <v>0</v>
      </c>
      <c r="S16" s="2"/>
      <c r="T16" s="2"/>
      <c r="U16" s="2"/>
      <c r="V16" s="2"/>
    </row>
    <row r="17" spans="1:22" x14ac:dyDescent="0.2">
      <c r="A17" s="51" t="s">
        <v>111</v>
      </c>
      <c r="B17" s="45" t="s">
        <v>229</v>
      </c>
      <c r="C17" s="45" t="s">
        <v>111</v>
      </c>
      <c r="D17" s="45"/>
      <c r="E17" s="63">
        <v>2000</v>
      </c>
      <c r="F17" s="62">
        <f t="shared" si="4"/>
        <v>2000</v>
      </c>
      <c r="G17" s="38">
        <v>2000</v>
      </c>
      <c r="H17" s="38">
        <v>2000</v>
      </c>
      <c r="I17" s="38">
        <v>2000</v>
      </c>
      <c r="J17" s="38">
        <v>2000</v>
      </c>
      <c r="K17" s="38">
        <v>2000</v>
      </c>
      <c r="L17" s="38">
        <v>2000</v>
      </c>
      <c r="M17" s="38">
        <v>2000</v>
      </c>
      <c r="N17" s="38">
        <v>2000</v>
      </c>
      <c r="O17" s="38">
        <v>2000</v>
      </c>
      <c r="P17" s="38">
        <v>2000</v>
      </c>
      <c r="Q17" s="38">
        <v>2000</v>
      </c>
      <c r="R17" s="38">
        <v>2000</v>
      </c>
      <c r="S17" s="2"/>
      <c r="T17" s="2"/>
      <c r="U17" s="2"/>
      <c r="V17" s="38" t="s">
        <v>46</v>
      </c>
    </row>
    <row r="18" spans="1:22" x14ac:dyDescent="0.2">
      <c r="A18" s="51" t="s">
        <v>111</v>
      </c>
      <c r="B18" s="45" t="s">
        <v>230</v>
      </c>
      <c r="C18" s="45" t="s">
        <v>111</v>
      </c>
      <c r="D18" s="45"/>
      <c r="E18" s="63">
        <v>4000</v>
      </c>
      <c r="F18" s="62">
        <f t="shared" si="4"/>
        <v>4000</v>
      </c>
      <c r="G18" s="38">
        <v>4000</v>
      </c>
      <c r="H18" s="38">
        <v>4000</v>
      </c>
      <c r="I18" s="38">
        <v>4000</v>
      </c>
      <c r="J18" s="38">
        <v>4000</v>
      </c>
      <c r="K18" s="38">
        <v>4000</v>
      </c>
      <c r="L18" s="38">
        <v>4000</v>
      </c>
      <c r="M18" s="38">
        <v>4000</v>
      </c>
      <c r="N18" s="38">
        <v>4000</v>
      </c>
      <c r="O18" s="38">
        <v>4000</v>
      </c>
      <c r="P18" s="38">
        <v>4000</v>
      </c>
      <c r="Q18" s="38">
        <v>4000</v>
      </c>
      <c r="R18" s="38">
        <v>4000</v>
      </c>
      <c r="S18" s="2"/>
      <c r="T18" s="2"/>
      <c r="U18" s="2"/>
      <c r="V18" s="2"/>
    </row>
    <row r="19" spans="1:22" x14ac:dyDescent="0.2">
      <c r="A19" t="s">
        <v>194</v>
      </c>
      <c r="B19" s="45" t="s">
        <v>200</v>
      </c>
      <c r="C19" s="45" t="s">
        <v>113</v>
      </c>
      <c r="D19" s="45" t="s">
        <v>240</v>
      </c>
      <c r="E19" s="45">
        <v>50</v>
      </c>
      <c r="F19" s="62">
        <f t="shared" si="4"/>
        <v>93</v>
      </c>
      <c r="G19" s="2">
        <v>0</v>
      </c>
      <c r="H19" s="2">
        <v>0</v>
      </c>
      <c r="I19" s="2">
        <v>121</v>
      </c>
      <c r="J19" s="2">
        <v>0</v>
      </c>
      <c r="K19" s="2">
        <v>687</v>
      </c>
      <c r="L19" s="2">
        <v>224</v>
      </c>
      <c r="M19" s="2">
        <v>0</v>
      </c>
      <c r="N19" s="2">
        <v>0</v>
      </c>
      <c r="O19" s="2">
        <v>81</v>
      </c>
      <c r="P19" s="2">
        <v>0</v>
      </c>
      <c r="Q19" s="2">
        <v>0</v>
      </c>
      <c r="R19" s="2">
        <v>0</v>
      </c>
      <c r="S19" s="2"/>
      <c r="T19" s="2"/>
      <c r="U19" s="2"/>
      <c r="V19" s="2"/>
    </row>
    <row r="20" spans="1:22" x14ac:dyDescent="0.2">
      <c r="A20" t="s">
        <v>194</v>
      </c>
      <c r="B20" s="45" t="s">
        <v>242</v>
      </c>
      <c r="C20" s="45" t="s">
        <v>113</v>
      </c>
      <c r="D20" s="45" t="s">
        <v>240</v>
      </c>
      <c r="E20" s="63">
        <v>400</v>
      </c>
      <c r="F20" s="62">
        <f t="shared" si="4"/>
        <v>334</v>
      </c>
      <c r="G20" s="2">
        <v>0</v>
      </c>
      <c r="H20" s="2">
        <f>786-H21</f>
        <v>419</v>
      </c>
      <c r="I20" s="2">
        <f>786-I21</f>
        <v>419</v>
      </c>
      <c r="J20" s="2">
        <f>786-J21</f>
        <v>419</v>
      </c>
      <c r="K20" s="2">
        <v>0</v>
      </c>
      <c r="L20" s="2">
        <f>919-L21</f>
        <v>552</v>
      </c>
      <c r="M20" s="2">
        <f>807-M21</f>
        <v>440</v>
      </c>
      <c r="N20" s="2">
        <f>807-N21</f>
        <v>440</v>
      </c>
      <c r="O20" s="2">
        <f>807-O21</f>
        <v>440</v>
      </c>
      <c r="P20" s="2">
        <f>807-P21</f>
        <v>440</v>
      </c>
      <c r="Q20" s="2">
        <f>807-Q21</f>
        <v>440</v>
      </c>
      <c r="R20" s="2">
        <v>0</v>
      </c>
      <c r="S20" s="2"/>
      <c r="T20" s="2"/>
      <c r="U20" s="2"/>
      <c r="V20" s="2"/>
    </row>
    <row r="21" spans="1:22" x14ac:dyDescent="0.2">
      <c r="A21" t="s">
        <v>194</v>
      </c>
      <c r="B21" s="45" t="s">
        <v>202</v>
      </c>
      <c r="C21" s="45" t="s">
        <v>113</v>
      </c>
      <c r="D21" s="45" t="s">
        <v>240</v>
      </c>
      <c r="E21" s="63">
        <v>367</v>
      </c>
      <c r="F21" s="62">
        <f t="shared" si="4"/>
        <v>275</v>
      </c>
      <c r="G21" s="2">
        <v>0</v>
      </c>
      <c r="H21" s="2">
        <v>367</v>
      </c>
      <c r="I21" s="2">
        <v>367</v>
      </c>
      <c r="J21" s="2">
        <v>367</v>
      </c>
      <c r="K21" s="2">
        <v>0</v>
      </c>
      <c r="L21" s="2">
        <v>367</v>
      </c>
      <c r="M21" s="2">
        <v>367</v>
      </c>
      <c r="N21" s="2">
        <v>367</v>
      </c>
      <c r="O21" s="2">
        <v>367</v>
      </c>
      <c r="P21" s="2">
        <v>367</v>
      </c>
      <c r="Q21" s="2">
        <v>367</v>
      </c>
      <c r="R21" s="2">
        <v>0</v>
      </c>
      <c r="S21" s="2"/>
      <c r="T21" s="2"/>
      <c r="U21" s="2"/>
      <c r="V21" s="2"/>
    </row>
    <row r="22" spans="1:22" x14ac:dyDescent="0.2">
      <c r="A22" t="s">
        <v>194</v>
      </c>
      <c r="B22" s="45" t="s">
        <v>203</v>
      </c>
      <c r="C22" s="45" t="s">
        <v>113</v>
      </c>
      <c r="D22" s="45" t="s">
        <v>241</v>
      </c>
      <c r="E22" s="63">
        <v>170</v>
      </c>
      <c r="F22" s="62">
        <v>255</v>
      </c>
      <c r="G22" s="2">
        <v>0</v>
      </c>
      <c r="H22" s="2">
        <v>0</v>
      </c>
      <c r="I22" s="2">
        <f>519</f>
        <v>519</v>
      </c>
      <c r="J22" s="2">
        <v>0</v>
      </c>
      <c r="K22" s="2">
        <v>0</v>
      </c>
      <c r="L22" s="2">
        <v>519</v>
      </c>
      <c r="M22" s="2">
        <v>0</v>
      </c>
      <c r="N22" s="2">
        <v>0</v>
      </c>
      <c r="O22" s="2">
        <v>593</v>
      </c>
      <c r="P22" s="2">
        <v>0</v>
      </c>
      <c r="Q22" s="2">
        <v>0</v>
      </c>
      <c r="R22" s="2">
        <v>554</v>
      </c>
      <c r="S22" s="2"/>
      <c r="T22" s="2"/>
      <c r="U22" s="2"/>
      <c r="V22" s="2"/>
    </row>
    <row r="23" spans="1:22" x14ac:dyDescent="0.2">
      <c r="A23" t="s">
        <v>194</v>
      </c>
      <c r="B23" s="45" t="s">
        <v>204</v>
      </c>
      <c r="C23" s="45" t="s">
        <v>113</v>
      </c>
      <c r="D23" s="45"/>
      <c r="E23" s="63">
        <v>250</v>
      </c>
      <c r="F23" s="62">
        <f t="shared" si="4"/>
        <v>116</v>
      </c>
      <c r="G23" s="2">
        <v>197</v>
      </c>
      <c r="H23" s="2">
        <v>0</v>
      </c>
      <c r="I23" s="2">
        <v>0</v>
      </c>
      <c r="J23" s="2">
        <v>195</v>
      </c>
      <c r="K23" s="2">
        <v>0</v>
      </c>
      <c r="L23" s="2">
        <v>224</v>
      </c>
      <c r="M23" s="2">
        <v>196</v>
      </c>
      <c r="N23" s="2">
        <v>0</v>
      </c>
      <c r="O23" s="2">
        <v>195</v>
      </c>
      <c r="P23" s="2">
        <v>195</v>
      </c>
      <c r="Q23" s="2">
        <v>195</v>
      </c>
      <c r="R23" s="2">
        <v>0</v>
      </c>
      <c r="S23" s="2"/>
      <c r="T23" s="2"/>
      <c r="U23" s="2"/>
      <c r="V23" s="2"/>
    </row>
    <row r="24" spans="1:22" x14ac:dyDescent="0.2">
      <c r="A24" t="s">
        <v>194</v>
      </c>
      <c r="B24" s="45" t="s">
        <v>205</v>
      </c>
      <c r="C24" s="45" t="s">
        <v>113</v>
      </c>
      <c r="D24" s="45"/>
      <c r="E24" s="63">
        <v>250</v>
      </c>
      <c r="F24" s="62">
        <f t="shared" si="4"/>
        <v>167</v>
      </c>
      <c r="G24" s="2">
        <v>0</v>
      </c>
      <c r="H24" s="2">
        <v>0</v>
      </c>
      <c r="I24" s="2">
        <v>0</v>
      </c>
      <c r="J24" s="2">
        <f>195*2</f>
        <v>390</v>
      </c>
      <c r="K24" s="2">
        <f>195+255+195</f>
        <v>645</v>
      </c>
      <c r="L24" s="2">
        <v>473</v>
      </c>
      <c r="M24" s="2">
        <v>0</v>
      </c>
      <c r="N24" s="2">
        <v>0</v>
      </c>
      <c r="O24" s="2">
        <v>295</v>
      </c>
      <c r="P24" s="2">
        <v>195</v>
      </c>
      <c r="Q24" s="2">
        <v>0</v>
      </c>
      <c r="R24" s="2">
        <v>0</v>
      </c>
      <c r="S24" s="2"/>
      <c r="T24" s="2"/>
      <c r="U24" s="2"/>
      <c r="V24" s="2"/>
    </row>
    <row r="25" spans="1:22" x14ac:dyDescent="0.2">
      <c r="A25" t="s">
        <v>194</v>
      </c>
      <c r="B25" s="45" t="s">
        <v>233</v>
      </c>
      <c r="C25" s="45" t="s">
        <v>113</v>
      </c>
      <c r="D25" s="45"/>
      <c r="E25" s="63">
        <v>178</v>
      </c>
      <c r="F25" s="62">
        <f t="shared" si="4"/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/>
      <c r="T25" s="2"/>
      <c r="U25" s="2"/>
      <c r="V25" s="2"/>
    </row>
    <row r="26" spans="1:22" x14ac:dyDescent="0.2">
      <c r="A26" s="38" t="s">
        <v>221</v>
      </c>
      <c r="B26" s="45" t="s">
        <v>206</v>
      </c>
      <c r="C26" s="45" t="s">
        <v>114</v>
      </c>
      <c r="D26" s="45"/>
      <c r="E26" s="45">
        <v>3000</v>
      </c>
      <c r="F26" s="62">
        <f t="shared" si="4"/>
        <v>304</v>
      </c>
      <c r="G26" s="2">
        <f>65</f>
        <v>65</v>
      </c>
      <c r="H26" s="2">
        <f>108+495</f>
        <v>603</v>
      </c>
      <c r="I26" s="2">
        <v>0</v>
      </c>
      <c r="J26" s="2">
        <f>130+1082</f>
        <v>1212</v>
      </c>
      <c r="K26" s="2">
        <v>0</v>
      </c>
      <c r="L26" s="2">
        <f>1185</f>
        <v>1185</v>
      </c>
      <c r="M26" s="2">
        <v>588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/>
      <c r="T26" s="2"/>
      <c r="U26" s="2"/>
      <c r="V26" s="2"/>
    </row>
    <row r="27" spans="1:22" x14ac:dyDescent="0.2">
      <c r="A27" s="38" t="s">
        <v>221</v>
      </c>
      <c r="B27" s="45" t="s">
        <v>31</v>
      </c>
      <c r="C27" s="45" t="s">
        <v>114</v>
      </c>
      <c r="D27" s="45"/>
      <c r="E27" s="45">
        <v>252</v>
      </c>
      <c r="F27" s="62">
        <f t="shared" si="4"/>
        <v>284</v>
      </c>
      <c r="G27" s="2">
        <v>0</v>
      </c>
      <c r="H27" s="2">
        <v>0</v>
      </c>
      <c r="I27" s="2">
        <v>0</v>
      </c>
      <c r="J27" s="2">
        <v>1580</v>
      </c>
      <c r="K27" s="2">
        <v>1831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 t="s">
        <v>46</v>
      </c>
      <c r="T27" s="2"/>
      <c r="U27" s="2"/>
      <c r="V27" s="2"/>
    </row>
    <row r="28" spans="1:22" x14ac:dyDescent="0.2">
      <c r="A28" s="38" t="s">
        <v>221</v>
      </c>
      <c r="B28" s="45" t="s">
        <v>35</v>
      </c>
      <c r="C28" s="45" t="s">
        <v>114</v>
      </c>
      <c r="D28" s="45" t="s">
        <v>237</v>
      </c>
      <c r="E28" s="45">
        <v>900</v>
      </c>
      <c r="F28" s="62">
        <f t="shared" si="4"/>
        <v>632</v>
      </c>
      <c r="G28" s="2">
        <v>0</v>
      </c>
      <c r="H28" s="2">
        <v>0</v>
      </c>
      <c r="I28" s="2">
        <f>5742</f>
        <v>5742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f>1836</f>
        <v>1836</v>
      </c>
      <c r="Q28" s="2">
        <v>0</v>
      </c>
      <c r="R28" s="2">
        <v>0</v>
      </c>
      <c r="S28" s="2"/>
      <c r="T28" s="2"/>
      <c r="U28" s="2"/>
      <c r="V28" s="2"/>
    </row>
    <row r="29" spans="1:22" x14ac:dyDescent="0.2">
      <c r="A29" s="38" t="s">
        <v>221</v>
      </c>
      <c r="B29" s="45" t="s">
        <v>54</v>
      </c>
      <c r="C29" s="45" t="s">
        <v>114</v>
      </c>
      <c r="D29" s="45"/>
      <c r="E29" s="45">
        <v>1200</v>
      </c>
      <c r="F29" s="62">
        <f t="shared" si="4"/>
        <v>1528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18339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/>
      <c r="T29" s="2"/>
      <c r="U29" s="2"/>
      <c r="V29" s="2"/>
    </row>
    <row r="30" spans="1:22" x14ac:dyDescent="0.2">
      <c r="A30" s="38" t="s">
        <v>221</v>
      </c>
      <c r="B30" s="45" t="s">
        <v>218</v>
      </c>
      <c r="C30" s="45" t="s">
        <v>114</v>
      </c>
      <c r="D30" s="45"/>
      <c r="E30" s="45">
        <v>500</v>
      </c>
      <c r="F30" s="62">
        <f t="shared" si="4"/>
        <v>313</v>
      </c>
      <c r="G30" s="2">
        <v>0</v>
      </c>
      <c r="H30" s="2">
        <v>0</v>
      </c>
      <c r="I30" s="2">
        <f>280+435</f>
        <v>715</v>
      </c>
      <c r="J30" s="2">
        <f>587+258</f>
        <v>845</v>
      </c>
      <c r="K30" s="2">
        <v>0</v>
      </c>
      <c r="L30" s="2">
        <f>61+391</f>
        <v>452</v>
      </c>
      <c r="M30" s="2">
        <f>236+448</f>
        <v>684</v>
      </c>
      <c r="N30" s="2">
        <v>0</v>
      </c>
      <c r="O30" s="2">
        <f>331+444</f>
        <v>775</v>
      </c>
      <c r="P30" s="2">
        <f>193+65</f>
        <v>258</v>
      </c>
      <c r="Q30" s="2">
        <f>22</f>
        <v>22</v>
      </c>
      <c r="R30" s="2">
        <v>0</v>
      </c>
      <c r="V30" s="2"/>
    </row>
    <row r="31" spans="1:22" x14ac:dyDescent="0.2">
      <c r="A31" s="38" t="s">
        <v>221</v>
      </c>
      <c r="B31" s="45" t="s">
        <v>220</v>
      </c>
      <c r="C31" s="45" t="s">
        <v>114</v>
      </c>
      <c r="D31" s="45"/>
      <c r="E31" s="45">
        <v>250</v>
      </c>
      <c r="F31" s="62">
        <f t="shared" si="4"/>
        <v>52</v>
      </c>
      <c r="G31" s="2">
        <v>0</v>
      </c>
      <c r="H31" s="2">
        <v>0</v>
      </c>
      <c r="I31" s="2">
        <v>0</v>
      </c>
      <c r="J31" s="2">
        <v>200</v>
      </c>
      <c r="K31" s="2">
        <v>0</v>
      </c>
      <c r="L31" s="2">
        <v>0</v>
      </c>
      <c r="M31" s="2">
        <v>0</v>
      </c>
      <c r="N31" s="2">
        <v>0</v>
      </c>
      <c r="O31" s="2">
        <v>428</v>
      </c>
      <c r="P31" s="2">
        <v>0</v>
      </c>
      <c r="Q31" s="2">
        <v>0</v>
      </c>
      <c r="R31" s="2">
        <v>0</v>
      </c>
      <c r="V31" s="2"/>
    </row>
    <row r="32" spans="1:22" x14ac:dyDescent="0.2">
      <c r="A32" t="s">
        <v>3</v>
      </c>
      <c r="B32" s="45" t="s">
        <v>50</v>
      </c>
      <c r="C32" s="45" t="s">
        <v>113</v>
      </c>
      <c r="D32" s="45"/>
      <c r="E32" s="52">
        <v>262</v>
      </c>
      <c r="F32" s="62">
        <f t="shared" si="4"/>
        <v>70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839</v>
      </c>
      <c r="S32" s="2"/>
      <c r="T32" s="2" t="s">
        <v>46</v>
      </c>
      <c r="U32" s="2"/>
      <c r="V32" s="2"/>
    </row>
    <row r="33" spans="1:22" x14ac:dyDescent="0.2">
      <c r="A33" t="s">
        <v>3</v>
      </c>
      <c r="B33" s="45" t="s">
        <v>34</v>
      </c>
      <c r="C33" s="45" t="s">
        <v>116</v>
      </c>
      <c r="D33" s="45"/>
      <c r="E33" s="45">
        <v>100</v>
      </c>
      <c r="F33" s="62">
        <f t="shared" si="4"/>
        <v>100</v>
      </c>
      <c r="G33" s="2">
        <v>100</v>
      </c>
      <c r="H33" s="2">
        <v>100</v>
      </c>
      <c r="I33" s="2">
        <v>100</v>
      </c>
      <c r="J33" s="2">
        <v>100</v>
      </c>
      <c r="K33" s="2">
        <v>100</v>
      </c>
      <c r="L33" s="2">
        <v>100</v>
      </c>
      <c r="M33" s="2">
        <v>100</v>
      </c>
      <c r="N33" s="2">
        <v>100</v>
      </c>
      <c r="O33" s="2">
        <v>100</v>
      </c>
      <c r="P33" s="2">
        <v>100</v>
      </c>
      <c r="Q33" s="2">
        <v>100</v>
      </c>
      <c r="R33" s="2">
        <v>100</v>
      </c>
      <c r="S33" s="2"/>
      <c r="T33" s="2"/>
      <c r="U33" s="2"/>
      <c r="V33" s="2"/>
    </row>
    <row r="34" spans="1:22" x14ac:dyDescent="0.2">
      <c r="A34" t="s">
        <v>3</v>
      </c>
      <c r="B34" s="45" t="s">
        <v>25</v>
      </c>
      <c r="C34" s="45" t="s">
        <v>116</v>
      </c>
      <c r="D34" s="45"/>
      <c r="E34" s="45">
        <v>320</v>
      </c>
      <c r="F34" s="62">
        <f t="shared" si="4"/>
        <v>349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529</v>
      </c>
      <c r="P34" s="2">
        <f>1698+764</f>
        <v>2462</v>
      </c>
      <c r="Q34" s="2">
        <v>1194</v>
      </c>
      <c r="R34" s="2">
        <v>0</v>
      </c>
      <c r="S34" s="2"/>
      <c r="T34" s="2"/>
      <c r="U34" s="2"/>
      <c r="V34" s="2"/>
    </row>
    <row r="35" spans="1:22" x14ac:dyDescent="0.2">
      <c r="A35" t="s">
        <v>3</v>
      </c>
      <c r="B35" s="45" t="s">
        <v>52</v>
      </c>
      <c r="C35" s="45" t="s">
        <v>116</v>
      </c>
      <c r="D35" s="45"/>
      <c r="E35" s="45">
        <v>2000</v>
      </c>
      <c r="F35" s="62">
        <f t="shared" si="4"/>
        <v>2000</v>
      </c>
      <c r="G35" s="2">
        <v>2000</v>
      </c>
      <c r="H35" s="2">
        <v>2000</v>
      </c>
      <c r="I35" s="2">
        <v>2000</v>
      </c>
      <c r="J35" s="2">
        <v>2000</v>
      </c>
      <c r="K35" s="2">
        <v>2000</v>
      </c>
      <c r="L35" s="2">
        <v>2000</v>
      </c>
      <c r="M35" s="2">
        <v>2000</v>
      </c>
      <c r="N35" s="2">
        <v>2000</v>
      </c>
      <c r="O35" s="2">
        <v>2000</v>
      </c>
      <c r="P35" s="2">
        <v>2000</v>
      </c>
      <c r="Q35" s="2">
        <v>2000</v>
      </c>
      <c r="R35" s="2">
        <v>2000</v>
      </c>
      <c r="S35" s="2"/>
      <c r="T35" s="2"/>
      <c r="U35" s="2"/>
      <c r="V35" s="2"/>
    </row>
    <row r="36" spans="1:22" x14ac:dyDescent="0.2">
      <c r="A36" t="s">
        <v>3</v>
      </c>
      <c r="B36" s="45" t="s">
        <v>189</v>
      </c>
      <c r="C36" s="45" t="s">
        <v>116</v>
      </c>
      <c r="D36" s="45"/>
      <c r="E36" s="45">
        <v>200</v>
      </c>
      <c r="F36" s="62">
        <f t="shared" si="4"/>
        <v>262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f>866</f>
        <v>866</v>
      </c>
      <c r="N36" s="2">
        <v>0</v>
      </c>
      <c r="O36" s="2">
        <v>0</v>
      </c>
      <c r="P36" s="2">
        <v>0</v>
      </c>
      <c r="Q36" s="2">
        <f>2273</f>
        <v>2273</v>
      </c>
      <c r="R36" s="2">
        <v>0</v>
      </c>
      <c r="S36" s="2"/>
      <c r="T36" s="2"/>
      <c r="U36" s="2"/>
      <c r="V36" s="2"/>
    </row>
    <row r="37" spans="1:22" x14ac:dyDescent="0.2">
      <c r="A37" s="2" t="s">
        <v>27</v>
      </c>
      <c r="B37" s="4" t="s">
        <v>27</v>
      </c>
      <c r="C37" s="2" t="s">
        <v>27</v>
      </c>
      <c r="D37" s="2"/>
      <c r="E37" s="25">
        <v>9900</v>
      </c>
      <c r="F37" s="62">
        <f t="shared" si="4"/>
        <v>9000</v>
      </c>
      <c r="G37" s="2">
        <v>9000</v>
      </c>
      <c r="H37" s="2">
        <v>9000</v>
      </c>
      <c r="I37" s="2">
        <v>9000</v>
      </c>
      <c r="J37" s="2">
        <v>9000</v>
      </c>
      <c r="K37" s="2">
        <v>9000</v>
      </c>
      <c r="L37" s="2">
        <v>9000</v>
      </c>
      <c r="M37" s="2">
        <v>9000</v>
      </c>
      <c r="N37" s="2">
        <v>9000</v>
      </c>
      <c r="O37" s="2">
        <v>9000</v>
      </c>
      <c r="P37" s="2">
        <v>9000</v>
      </c>
      <c r="Q37" s="2">
        <v>9000</v>
      </c>
      <c r="R37" s="2">
        <v>9000</v>
      </c>
      <c r="S37" s="2"/>
      <c r="T37" s="2"/>
      <c r="U37" s="2"/>
      <c r="V37" s="2"/>
    </row>
    <row r="38" spans="1:22" x14ac:dyDescent="0.2">
      <c r="A38" s="2" t="s">
        <v>3</v>
      </c>
      <c r="B38" s="2" t="s">
        <v>222</v>
      </c>
      <c r="C38" s="38" t="s">
        <v>222</v>
      </c>
      <c r="D38" s="38"/>
      <c r="E38" s="25">
        <v>0</v>
      </c>
      <c r="F38" s="62">
        <f t="shared" si="4"/>
        <v>1824</v>
      </c>
      <c r="G38" s="2">
        <v>6100</v>
      </c>
      <c r="H38" s="2">
        <v>0</v>
      </c>
      <c r="I38" s="2">
        <v>7100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7490</v>
      </c>
      <c r="P38" s="2">
        <v>1200</v>
      </c>
      <c r="Q38" s="2">
        <v>0</v>
      </c>
      <c r="R38" s="2">
        <v>0</v>
      </c>
      <c r="S38" s="2"/>
      <c r="T38" s="2"/>
      <c r="U38" s="2"/>
      <c r="V38" s="2"/>
    </row>
    <row r="39" spans="1:22" x14ac:dyDescent="0.2">
      <c r="A39" s="2" t="s">
        <v>3</v>
      </c>
      <c r="B39" s="2" t="s">
        <v>165</v>
      </c>
      <c r="C39" s="2" t="s">
        <v>171</v>
      </c>
      <c r="D39" s="2"/>
      <c r="E39" s="25">
        <v>167</v>
      </c>
      <c r="F39" s="62">
        <f t="shared" si="4"/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11"/>
      <c r="T39" s="11"/>
      <c r="U39" s="11"/>
      <c r="V39" s="2"/>
    </row>
    <row r="40" spans="1:22" x14ac:dyDescent="0.2">
      <c r="A40" s="2" t="s">
        <v>3</v>
      </c>
      <c r="B40" s="2" t="s">
        <v>77</v>
      </c>
      <c r="C40" s="2" t="s">
        <v>171</v>
      </c>
      <c r="D40" s="2"/>
      <c r="E40" s="25">
        <v>0</v>
      </c>
      <c r="F40" s="62">
        <f t="shared" si="4"/>
        <v>307</v>
      </c>
      <c r="G40" s="2">
        <v>0</v>
      </c>
      <c r="H40" s="2">
        <v>3179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500</v>
      </c>
      <c r="R40" s="2">
        <v>0</v>
      </c>
      <c r="S40" s="2"/>
      <c r="T40" s="2"/>
      <c r="U40" s="2"/>
      <c r="V40" s="2"/>
    </row>
    <row r="41" spans="1:22" x14ac:dyDescent="0.2">
      <c r="A41" s="2" t="s">
        <v>3</v>
      </c>
      <c r="B41" s="2" t="s">
        <v>3</v>
      </c>
      <c r="C41" s="2" t="s">
        <v>3</v>
      </c>
      <c r="D41" s="2"/>
      <c r="E41" s="25">
        <v>0</v>
      </c>
      <c r="F41" s="62">
        <f t="shared" si="4"/>
        <v>896</v>
      </c>
      <c r="G41" s="2">
        <f>300</f>
        <v>300</v>
      </c>
      <c r="H41" s="2">
        <f>1500+2599</f>
        <v>4099</v>
      </c>
      <c r="I41" s="2">
        <f>210</f>
        <v>210</v>
      </c>
      <c r="J41" s="2">
        <v>90</v>
      </c>
      <c r="K41" s="2">
        <v>2500</v>
      </c>
      <c r="L41" s="2">
        <f>625+2400</f>
        <v>3025</v>
      </c>
      <c r="M41" s="2">
        <v>0</v>
      </c>
      <c r="N41" s="2">
        <v>0</v>
      </c>
      <c r="O41" s="2">
        <v>0</v>
      </c>
      <c r="P41" s="2">
        <v>0</v>
      </c>
      <c r="Q41" s="2">
        <v>525</v>
      </c>
      <c r="R41" s="2">
        <v>0</v>
      </c>
      <c r="S41" s="2"/>
      <c r="T41" s="2"/>
      <c r="U41" s="2"/>
      <c r="V41" s="2"/>
    </row>
    <row r="42" spans="1:22" x14ac:dyDescent="0.2">
      <c r="A42" s="2" t="s">
        <v>3</v>
      </c>
      <c r="B42" s="45" t="s">
        <v>236</v>
      </c>
      <c r="C42" s="2" t="s">
        <v>97</v>
      </c>
      <c r="D42" s="2"/>
      <c r="E42" s="25">
        <v>1000</v>
      </c>
      <c r="F42" s="62">
        <f t="shared" si="4"/>
        <v>1083</v>
      </c>
      <c r="G42" s="2">
        <v>1000</v>
      </c>
      <c r="H42" s="2">
        <v>1000</v>
      </c>
      <c r="I42" s="2">
        <v>1000</v>
      </c>
      <c r="J42" s="2">
        <v>1000</v>
      </c>
      <c r="K42" s="2">
        <v>1000</v>
      </c>
      <c r="L42" s="2">
        <f>1000+1000</f>
        <v>2000</v>
      </c>
      <c r="M42" s="2">
        <v>1000</v>
      </c>
      <c r="N42" s="2">
        <v>1000</v>
      </c>
      <c r="O42" s="2">
        <v>1000</v>
      </c>
      <c r="P42" s="2">
        <v>1000</v>
      </c>
      <c r="Q42" s="2">
        <v>1000</v>
      </c>
      <c r="R42" s="2">
        <v>1000</v>
      </c>
      <c r="S42" s="2"/>
      <c r="T42" s="2"/>
      <c r="U42" s="2"/>
      <c r="V42" s="2"/>
    </row>
    <row r="43" spans="1:22" x14ac:dyDescent="0.2">
      <c r="A43" s="2" t="s">
        <v>3</v>
      </c>
      <c r="B43" s="45" t="s">
        <v>235</v>
      </c>
      <c r="C43" s="2" t="s">
        <v>97</v>
      </c>
      <c r="D43" s="2"/>
      <c r="E43" s="25">
        <v>250</v>
      </c>
      <c r="F43" s="62">
        <f t="shared" si="4"/>
        <v>608</v>
      </c>
      <c r="G43" s="2">
        <f>1500</f>
        <v>1500</v>
      </c>
      <c r="H43" s="2">
        <v>0</v>
      </c>
      <c r="I43" s="2">
        <v>0</v>
      </c>
      <c r="J43" s="2">
        <v>0</v>
      </c>
      <c r="K43" s="2">
        <v>0</v>
      </c>
      <c r="L43" s="2">
        <v>500</v>
      </c>
      <c r="M43" s="2">
        <v>2000</v>
      </c>
      <c r="N43" s="2">
        <v>3300</v>
      </c>
      <c r="O43" s="2">
        <v>0</v>
      </c>
      <c r="P43" s="2">
        <v>0</v>
      </c>
      <c r="Q43" s="2">
        <v>0</v>
      </c>
      <c r="R43" s="2">
        <v>0</v>
      </c>
      <c r="S43" s="2"/>
      <c r="T43" s="2"/>
      <c r="U43" s="2"/>
      <c r="V43" s="2"/>
    </row>
    <row r="44" spans="1:22" x14ac:dyDescent="0.2">
      <c r="A44" s="2" t="s">
        <v>3</v>
      </c>
      <c r="B44" s="38" t="s">
        <v>223</v>
      </c>
      <c r="C44" s="2" t="s">
        <v>117</v>
      </c>
      <c r="D44" s="2"/>
      <c r="E44" s="25">
        <v>8000</v>
      </c>
      <c r="F44" s="62">
        <f t="shared" si="4"/>
        <v>26276</v>
      </c>
      <c r="G44" s="2">
        <f>21918-G37-G25-G31-G38</f>
        <v>6818</v>
      </c>
      <c r="H44" s="2">
        <f>53217-H37-H25-H31-H38-H40</f>
        <v>41038</v>
      </c>
      <c r="I44" s="2">
        <f>32456-I37-I25-I31-I38</f>
        <v>16356</v>
      </c>
      <c r="J44" s="2">
        <f>41656-J37-J25-J31-J38</f>
        <v>32456</v>
      </c>
      <c r="K44" s="2">
        <f>45001-K37-K25-K31-K38</f>
        <v>36001</v>
      </c>
      <c r="L44" s="2">
        <f>54399-L37-L25-L31-L38-L29</f>
        <v>27060</v>
      </c>
      <c r="M44" s="2">
        <f>35880-M37-M25-M31-M38</f>
        <v>26880</v>
      </c>
      <c r="N44" s="2">
        <f>42816-N37-N25-N31-N38</f>
        <v>33816</v>
      </c>
      <c r="O44" s="2">
        <f>38696-O37-O25-O31-O38</f>
        <v>21778</v>
      </c>
      <c r="P44" s="2">
        <f>0</f>
        <v>0</v>
      </c>
      <c r="Q44" s="2">
        <f>26571+32182-Q37-Q25-Q31-Q38</f>
        <v>49753</v>
      </c>
      <c r="R44" s="2">
        <f>32357-R37-R25-R31-R38</f>
        <v>23357</v>
      </c>
      <c r="S44" s="2"/>
      <c r="T44" s="2"/>
      <c r="U44" s="2"/>
      <c r="V44" s="2"/>
    </row>
    <row r="45" spans="1:22" x14ac:dyDescent="0.2">
      <c r="B45" s="4" t="s">
        <v>224</v>
      </c>
      <c r="C45" s="11"/>
      <c r="D45" s="11"/>
      <c r="E45" s="52">
        <f>SUM(E9:E44)</f>
        <v>46855</v>
      </c>
      <c r="F45" s="25">
        <f>SUM(F9:F44)</f>
        <v>64943</v>
      </c>
      <c r="G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x14ac:dyDescent="0.2">
      <c r="B46" s="4" t="s">
        <v>225</v>
      </c>
      <c r="C46" s="2"/>
      <c r="D46" s="2"/>
      <c r="E46" s="38">
        <f>E4</f>
        <v>56000</v>
      </c>
      <c r="F46" s="2"/>
      <c r="G46" s="2"/>
      <c r="I46" s="2"/>
      <c r="J46" s="2"/>
      <c r="K46" s="2"/>
      <c r="L46" s="2">
        <v>0</v>
      </c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x14ac:dyDescent="0.2">
      <c r="B47" s="38" t="s">
        <v>226</v>
      </c>
      <c r="C47" s="2"/>
      <c r="D47" s="2"/>
      <c r="E47" s="2">
        <f>E46-E45</f>
        <v>9145</v>
      </c>
      <c r="F47" s="2"/>
      <c r="G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x14ac:dyDescent="0.2">
      <c r="B48" s="2"/>
      <c r="C48" s="2"/>
      <c r="D48" s="2"/>
      <c r="E48" s="2"/>
      <c r="F48" s="2"/>
      <c r="G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2:22" x14ac:dyDescent="0.2">
      <c r="B49" s="2"/>
      <c r="C49" s="2"/>
      <c r="D49" s="2"/>
      <c r="E49" s="2"/>
      <c r="F49" s="2"/>
      <c r="G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2:22" x14ac:dyDescent="0.2">
      <c r="B50" s="2"/>
      <c r="C50" s="2"/>
      <c r="D50" s="2"/>
      <c r="E50" s="2"/>
      <c r="F50" s="2"/>
      <c r="G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2:22" x14ac:dyDescent="0.2">
      <c r="B51" s="2"/>
      <c r="C51" s="2"/>
      <c r="D51" s="2"/>
      <c r="E51" s="2"/>
      <c r="F51" s="2"/>
      <c r="G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2:22" x14ac:dyDescent="0.2">
      <c r="B52" s="2"/>
      <c r="C52" s="2"/>
      <c r="D52" s="2"/>
      <c r="E52" s="2"/>
      <c r="F52" s="2"/>
      <c r="G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2:22" x14ac:dyDescent="0.2">
      <c r="B53" s="2"/>
      <c r="C53" s="2"/>
      <c r="D53" s="2"/>
      <c r="E53" s="2"/>
      <c r="F53" s="2"/>
      <c r="G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17" sqref="I17"/>
    </sheetView>
  </sheetViews>
  <sheetFormatPr defaultRowHeight="12.75" x14ac:dyDescent="0.2"/>
  <cols>
    <col min="1" max="2" width="19" customWidth="1"/>
    <col min="3" max="3" width="11.28515625" bestFit="1" customWidth="1"/>
  </cols>
  <sheetData>
    <row r="1" spans="1:7" s="11" customFormat="1" x14ac:dyDescent="0.2">
      <c r="C1" s="11" t="s">
        <v>184</v>
      </c>
      <c r="D1" s="11" t="s">
        <v>183</v>
      </c>
      <c r="E1" s="11" t="s">
        <v>103</v>
      </c>
      <c r="F1" s="11" t="s">
        <v>105</v>
      </c>
      <c r="G1" s="11" t="s">
        <v>26</v>
      </c>
    </row>
    <row r="2" spans="1:7" s="2" customFormat="1" x14ac:dyDescent="0.2">
      <c r="A2" s="38" t="s">
        <v>243</v>
      </c>
      <c r="B2">
        <v>23003015</v>
      </c>
      <c r="C2" s="2">
        <v>710310</v>
      </c>
      <c r="D2" s="2">
        <v>1.2E-2</v>
      </c>
      <c r="E2" s="2">
        <f>(D2*C2)/12</f>
        <v>710.31</v>
      </c>
      <c r="F2" s="2">
        <v>1530</v>
      </c>
      <c r="G2" s="2">
        <f>F2+E2</f>
        <v>2240.31</v>
      </c>
    </row>
    <row r="3" spans="1:7" s="2" customFormat="1" x14ac:dyDescent="0.2">
      <c r="A3" s="38" t="s">
        <v>244</v>
      </c>
      <c r="B3">
        <v>32094198</v>
      </c>
      <c r="C3" s="2">
        <v>984940</v>
      </c>
      <c r="D3" s="2">
        <v>1.2E-2</v>
      </c>
      <c r="E3" s="2">
        <f>(D3*C3)/12</f>
        <v>984.94</v>
      </c>
      <c r="F3" s="2">
        <v>3000</v>
      </c>
      <c r="G3" s="2">
        <f>F3+E3</f>
        <v>3984.94</v>
      </c>
    </row>
    <row r="4" spans="1:7" s="2" customFormat="1" x14ac:dyDescent="0.2">
      <c r="A4" s="38" t="s">
        <v>245</v>
      </c>
      <c r="B4">
        <v>37680893</v>
      </c>
      <c r="C4" s="2">
        <v>518960</v>
      </c>
      <c r="D4" s="2">
        <v>1.2E-2</v>
      </c>
      <c r="E4" s="2">
        <f>(D4*C4)/12</f>
        <v>518.96</v>
      </c>
      <c r="F4" s="2">
        <v>1400</v>
      </c>
      <c r="G4" s="2">
        <f>F4+E4</f>
        <v>1918.96</v>
      </c>
    </row>
    <row r="5" spans="1:7" x14ac:dyDescent="0.2">
      <c r="A5" s="38" t="s">
        <v>260</v>
      </c>
      <c r="C5" s="38">
        <v>200000</v>
      </c>
      <c r="D5" s="2">
        <v>1.29E-2</v>
      </c>
      <c r="E5" s="2">
        <f>(D5*C5)/12</f>
        <v>215</v>
      </c>
      <c r="F5" s="2">
        <v>1400</v>
      </c>
      <c r="G5" s="2">
        <f>F5+E5</f>
        <v>1615</v>
      </c>
    </row>
    <row r="6" spans="1:7" s="2" customFormat="1" x14ac:dyDescent="0.2">
      <c r="A6" s="59" t="s">
        <v>26</v>
      </c>
      <c r="B6" s="50"/>
      <c r="C6" s="68">
        <f>SUM(C2:C5)</f>
        <v>2414210</v>
      </c>
      <c r="D6" s="50"/>
      <c r="E6" s="50">
        <f>SUM(E2:E5)</f>
        <v>2429.21</v>
      </c>
      <c r="F6" s="50">
        <f>SUM(F2:F5)</f>
        <v>7330</v>
      </c>
      <c r="G6" s="50">
        <f>SUM(G2:G5)</f>
        <v>9759.2099999999991</v>
      </c>
    </row>
    <row r="7" spans="1:7" x14ac:dyDescent="0.2">
      <c r="B7" s="51" t="s">
        <v>46</v>
      </c>
    </row>
    <row r="10" spans="1:7" ht="16.5" x14ac:dyDescent="0.3">
      <c r="C10" s="67" t="s">
        <v>46</v>
      </c>
    </row>
    <row r="11" spans="1:7" x14ac:dyDescent="0.2">
      <c r="A11" t="s">
        <v>246</v>
      </c>
    </row>
    <row r="12" spans="1:7" x14ac:dyDescent="0.2">
      <c r="A12" t="s">
        <v>247</v>
      </c>
      <c r="C12">
        <v>10000</v>
      </c>
    </row>
    <row r="13" spans="1:7" x14ac:dyDescent="0.2">
      <c r="A13" t="s">
        <v>248</v>
      </c>
    </row>
    <row r="14" spans="1:7" x14ac:dyDescent="0.2">
      <c r="A14" t="s">
        <v>249</v>
      </c>
    </row>
    <row r="15" spans="1:7" x14ac:dyDescent="0.2">
      <c r="A15" t="s">
        <v>250</v>
      </c>
    </row>
    <row r="16" spans="1:7" x14ac:dyDescent="0.2">
      <c r="A16" t="s">
        <v>252</v>
      </c>
      <c r="C16">
        <v>100000</v>
      </c>
    </row>
    <row r="17" spans="1:3" x14ac:dyDescent="0.2">
      <c r="A17" t="s">
        <v>251</v>
      </c>
      <c r="C17">
        <f>B29</f>
        <v>78000</v>
      </c>
    </row>
    <row r="18" spans="1:3" x14ac:dyDescent="0.2">
      <c r="A18" t="s">
        <v>253</v>
      </c>
    </row>
    <row r="20" spans="1:3" x14ac:dyDescent="0.2">
      <c r="A20" t="s">
        <v>26</v>
      </c>
      <c r="C20">
        <f>SUM(C11:C19)</f>
        <v>188000</v>
      </c>
    </row>
    <row r="23" spans="1:3" x14ac:dyDescent="0.2">
      <c r="A23" t="s">
        <v>254</v>
      </c>
      <c r="B23">
        <v>15000</v>
      </c>
    </row>
    <row r="24" spans="1:3" x14ac:dyDescent="0.2">
      <c r="A24" t="s">
        <v>255</v>
      </c>
      <c r="B24">
        <v>8000</v>
      </c>
    </row>
    <row r="25" spans="1:3" x14ac:dyDescent="0.2">
      <c r="A25" t="s">
        <v>256</v>
      </c>
      <c r="B25">
        <v>15000</v>
      </c>
    </row>
    <row r="26" spans="1:3" x14ac:dyDescent="0.2">
      <c r="A26" t="s">
        <v>257</v>
      </c>
      <c r="B26">
        <v>10000</v>
      </c>
    </row>
    <row r="27" spans="1:3" x14ac:dyDescent="0.2">
      <c r="A27" t="s">
        <v>258</v>
      </c>
      <c r="B27">
        <v>15000</v>
      </c>
    </row>
    <row r="28" spans="1:3" x14ac:dyDescent="0.2">
      <c r="A28" t="s">
        <v>259</v>
      </c>
      <c r="B28">
        <v>15000</v>
      </c>
    </row>
    <row r="29" spans="1:3" x14ac:dyDescent="0.2">
      <c r="B29">
        <f>SUM(B23:B28)</f>
        <v>78000</v>
      </c>
    </row>
  </sheetData>
  <hyperlinks>
    <hyperlink ref="B4" r:id="rId1" display="https://privat.ib.seb.se/wow/6000/6100/wow6111.aspx?P1=PCBW25810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4"/>
  <sheetViews>
    <sheetView topLeftCell="A12" workbookViewId="0">
      <selection activeCell="A26" sqref="A26:XFD31"/>
    </sheetView>
  </sheetViews>
  <sheetFormatPr defaultColWidth="10" defaultRowHeight="12.75" x14ac:dyDescent="0.2"/>
  <cols>
    <col min="1" max="1" width="38.42578125" style="2" customWidth="1"/>
    <col min="2" max="2" width="15.140625" style="2" bestFit="1" customWidth="1"/>
    <col min="3" max="16384" width="10" style="2"/>
  </cols>
  <sheetData>
    <row r="2" spans="1:14" x14ac:dyDescent="0.2">
      <c r="E2" s="2">
        <v>2200</v>
      </c>
    </row>
    <row r="3" spans="1:14" x14ac:dyDescent="0.2">
      <c r="A3" s="15" t="s">
        <v>41</v>
      </c>
      <c r="B3" s="15"/>
      <c r="C3" s="16" t="s">
        <v>42</v>
      </c>
      <c r="D3" s="16" t="s">
        <v>43</v>
      </c>
      <c r="E3" s="16" t="s">
        <v>47</v>
      </c>
      <c r="F3" s="16" t="s">
        <v>44</v>
      </c>
      <c r="H3" s="16"/>
      <c r="I3" s="16"/>
      <c r="J3" s="16"/>
      <c r="L3" s="16"/>
      <c r="M3" s="16"/>
      <c r="N3" s="16"/>
    </row>
    <row r="4" spans="1:14" x14ac:dyDescent="0.2">
      <c r="A4" s="1" t="s">
        <v>45</v>
      </c>
      <c r="B4" s="1"/>
      <c r="C4" s="2">
        <v>43165</v>
      </c>
      <c r="D4" s="2">
        <v>27182</v>
      </c>
      <c r="F4" s="2" t="s">
        <v>46</v>
      </c>
    </row>
    <row r="5" spans="1:14" x14ac:dyDescent="0.2">
      <c r="A5" s="2" t="s">
        <v>177</v>
      </c>
      <c r="C5" s="2">
        <v>-10295</v>
      </c>
      <c r="D5" s="2">
        <f>5803+250</f>
        <v>6053</v>
      </c>
    </row>
    <row r="6" spans="1:14" x14ac:dyDescent="0.2">
      <c r="A6" s="1" t="s">
        <v>178</v>
      </c>
      <c r="B6" s="1"/>
      <c r="D6" s="2" t="s">
        <v>46</v>
      </c>
      <c r="E6" s="2">
        <f>875+1050+100</f>
        <v>2025</v>
      </c>
      <c r="K6" s="2">
        <f>(1050*10)/12</f>
        <v>875</v>
      </c>
    </row>
    <row r="7" spans="1:14" x14ac:dyDescent="0.2">
      <c r="A7" s="11" t="s">
        <v>48</v>
      </c>
      <c r="C7" s="2">
        <v>28614</v>
      </c>
      <c r="D7" s="2">
        <f>D4-D5</f>
        <v>21129</v>
      </c>
      <c r="E7" s="2">
        <f>E6</f>
        <v>2025</v>
      </c>
      <c r="F7" s="12">
        <f>C7+D7+E7</f>
        <v>51768</v>
      </c>
      <c r="G7" s="33"/>
      <c r="J7" s="12"/>
      <c r="N7" s="12"/>
    </row>
    <row r="10" spans="1:14" x14ac:dyDescent="0.2">
      <c r="A10" s="11" t="s">
        <v>49</v>
      </c>
      <c r="F10" s="2">
        <v>44758</v>
      </c>
    </row>
    <row r="11" spans="1:14" x14ac:dyDescent="0.2">
      <c r="A11" s="2" t="s">
        <v>62</v>
      </c>
      <c r="F11" s="2">
        <v>1000</v>
      </c>
    </row>
    <row r="12" spans="1:14" x14ac:dyDescent="0.2">
      <c r="A12" s="2" t="s">
        <v>63</v>
      </c>
      <c r="F12" s="2">
        <v>1000</v>
      </c>
    </row>
    <row r="14" spans="1:14" x14ac:dyDescent="0.2">
      <c r="A14" s="2" t="s">
        <v>64</v>
      </c>
      <c r="F14" s="2">
        <f>F7-F10-F11-F12</f>
        <v>5010</v>
      </c>
      <c r="J14" s="2" t="s">
        <v>46</v>
      </c>
    </row>
    <row r="18" spans="1:6" x14ac:dyDescent="0.2">
      <c r="A18" s="2" t="s">
        <v>180</v>
      </c>
      <c r="B18" s="2">
        <v>10000</v>
      </c>
    </row>
    <row r="19" spans="1:6" x14ac:dyDescent="0.2">
      <c r="A19" s="2" t="s">
        <v>151</v>
      </c>
      <c r="B19" s="2">
        <v>10000</v>
      </c>
    </row>
    <row r="20" spans="1:6" x14ac:dyDescent="0.2">
      <c r="A20" s="2" t="s">
        <v>150</v>
      </c>
    </row>
    <row r="26" spans="1:6" s="11" customFormat="1" x14ac:dyDescent="0.2">
      <c r="B26" s="11" t="s">
        <v>184</v>
      </c>
      <c r="C26" s="11" t="s">
        <v>105</v>
      </c>
      <c r="D26" s="11" t="s">
        <v>183</v>
      </c>
      <c r="E26" s="11" t="s">
        <v>103</v>
      </c>
      <c r="F26" s="11" t="s">
        <v>26</v>
      </c>
    </row>
    <row r="27" spans="1:6" x14ac:dyDescent="0.2">
      <c r="A27" s="2" t="s">
        <v>181</v>
      </c>
      <c r="B27" s="2">
        <v>554960</v>
      </c>
      <c r="C27" s="2">
        <v>2500</v>
      </c>
      <c r="D27" s="2">
        <v>3.85E-2</v>
      </c>
      <c r="E27" s="2">
        <f>(D27*B27)/12</f>
        <v>1780.4966666666667</v>
      </c>
      <c r="F27" s="2">
        <f>C27+E27</f>
        <v>4280.4966666666669</v>
      </c>
    </row>
    <row r="28" spans="1:6" x14ac:dyDescent="0.2">
      <c r="A28" s="2" t="s">
        <v>185</v>
      </c>
      <c r="B28" s="2">
        <v>750000</v>
      </c>
      <c r="C28" s="2">
        <v>0</v>
      </c>
      <c r="D28" s="2">
        <v>5.7500000000000002E-2</v>
      </c>
      <c r="E28" s="2">
        <f>(D28*B28)/12</f>
        <v>3593.75</v>
      </c>
      <c r="F28" s="2">
        <f>C28+E28</f>
        <v>3593.75</v>
      </c>
    </row>
    <row r="29" spans="1:6" x14ac:dyDescent="0.2">
      <c r="A29" s="2" t="s">
        <v>182</v>
      </c>
      <c r="B29" s="2">
        <v>744000</v>
      </c>
      <c r="C29" s="2">
        <v>200</v>
      </c>
      <c r="D29" s="2">
        <v>4.0899999999999999E-2</v>
      </c>
      <c r="E29" s="2">
        <f>(D29*B29)/12</f>
        <v>2535.7999999999997</v>
      </c>
      <c r="F29" s="2">
        <f>C29+E29</f>
        <v>2735.7999999999997</v>
      </c>
    </row>
    <row r="30" spans="1:6" x14ac:dyDescent="0.2">
      <c r="A30" s="2" t="s">
        <v>186</v>
      </c>
      <c r="B30" s="2">
        <v>300000</v>
      </c>
      <c r="C30" s="2">
        <v>0</v>
      </c>
      <c r="D30" s="2">
        <v>5.7500000000000002E-2</v>
      </c>
      <c r="E30" s="2">
        <f>(D30*B30)/12</f>
        <v>1437.5</v>
      </c>
      <c r="F30" s="2">
        <f>C30+E30</f>
        <v>1437.5</v>
      </c>
    </row>
    <row r="31" spans="1:6" x14ac:dyDescent="0.2">
      <c r="B31" s="2">
        <f>SUM(B27:B30)</f>
        <v>2348960</v>
      </c>
      <c r="E31" s="2">
        <f>SUM(E27:E29)</f>
        <v>7910.0466666666671</v>
      </c>
      <c r="F31" s="2">
        <f>SUM(F27:F29)</f>
        <v>10610.046666666667</v>
      </c>
    </row>
    <row r="33" spans="1:4" x14ac:dyDescent="0.2">
      <c r="C33" s="2" t="s">
        <v>187</v>
      </c>
      <c r="D33" s="2" t="s">
        <v>188</v>
      </c>
    </row>
    <row r="34" spans="1:4" x14ac:dyDescent="0.2">
      <c r="A34" s="2" t="s">
        <v>19</v>
      </c>
      <c r="B34" s="2" t="s">
        <v>114</v>
      </c>
      <c r="C34" s="36">
        <v>2900</v>
      </c>
    </row>
    <row r="35" spans="1:4" x14ac:dyDescent="0.2">
      <c r="A35" s="2" t="s">
        <v>31</v>
      </c>
      <c r="B35" s="2" t="s">
        <v>114</v>
      </c>
      <c r="C35" s="34">
        <v>252</v>
      </c>
    </row>
    <row r="36" spans="1:4" x14ac:dyDescent="0.2">
      <c r="A36" s="2" t="s">
        <v>35</v>
      </c>
      <c r="B36" s="2" t="s">
        <v>114</v>
      </c>
      <c r="C36" s="34">
        <v>876</v>
      </c>
    </row>
    <row r="37" spans="1:4" x14ac:dyDescent="0.2">
      <c r="A37" s="2" t="s">
        <v>54</v>
      </c>
      <c r="B37" s="2" t="s">
        <v>114</v>
      </c>
      <c r="C37" s="36">
        <v>1700</v>
      </c>
    </row>
    <row r="42" spans="1:4" x14ac:dyDescent="0.2">
      <c r="A42" s="38" t="s">
        <v>208</v>
      </c>
    </row>
    <row r="43" spans="1:4" x14ac:dyDescent="0.2">
      <c r="A43" s="38" t="s">
        <v>209</v>
      </c>
      <c r="B43" s="53">
        <v>3100000</v>
      </c>
    </row>
    <row r="44" spans="1:4" x14ac:dyDescent="0.2">
      <c r="A44" s="38" t="s">
        <v>210</v>
      </c>
      <c r="B44" s="53">
        <v>4500000</v>
      </c>
    </row>
    <row r="46" spans="1:4" x14ac:dyDescent="0.2">
      <c r="A46" s="38" t="s">
        <v>211</v>
      </c>
      <c r="B46" s="55">
        <f>B44-B43</f>
        <v>1400000</v>
      </c>
    </row>
    <row r="47" spans="1:4" x14ac:dyDescent="0.2">
      <c r="A47" s="38" t="s">
        <v>212</v>
      </c>
      <c r="B47" s="54">
        <f>50000</f>
        <v>50000</v>
      </c>
    </row>
    <row r="48" spans="1:4" x14ac:dyDescent="0.2">
      <c r="A48" s="38" t="s">
        <v>213</v>
      </c>
      <c r="B48" s="54">
        <f>B46-B47</f>
        <v>1350000</v>
      </c>
    </row>
    <row r="49" spans="1:3" x14ac:dyDescent="0.2">
      <c r="A49" s="38" t="s">
        <v>214</v>
      </c>
      <c r="B49" s="56">
        <f>0.22 * B48</f>
        <v>297000</v>
      </c>
    </row>
    <row r="51" spans="1:3" x14ac:dyDescent="0.2">
      <c r="A51" s="38" t="s">
        <v>102</v>
      </c>
      <c r="B51" s="54">
        <f>2200000</f>
        <v>2200000</v>
      </c>
      <c r="C51" s="38" t="s">
        <v>46</v>
      </c>
    </row>
    <row r="52" spans="1:3" x14ac:dyDescent="0.2">
      <c r="A52" s="38" t="s">
        <v>215</v>
      </c>
      <c r="B52" s="57">
        <f>B44-B47-B49-B51</f>
        <v>1953000</v>
      </c>
    </row>
    <row r="54" spans="1:3" x14ac:dyDescent="0.2">
      <c r="A54" s="38" t="s">
        <v>216</v>
      </c>
      <c r="B54" s="54">
        <f>B52 + 1000000</f>
        <v>2953000</v>
      </c>
    </row>
  </sheetData>
  <phoneticPr fontId="0" type="noConversion"/>
  <pageMargins left="1.2597222222222222" right="1.2597222222222222" top="0.98472222222222228" bottom="0.98472222222222228" header="0.51180555555555551" footer="0.74791666666666667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3</vt:i4>
      </vt:variant>
    </vt:vector>
  </HeadingPairs>
  <TitlesOfParts>
    <vt:vector size="24" baseType="lpstr">
      <vt:lpstr>2016</vt:lpstr>
      <vt:lpstr>2016X</vt:lpstr>
      <vt:lpstr>2016_lgh</vt:lpstr>
      <vt:lpstr>lån</vt:lpstr>
      <vt:lpstr>2016_Fiona_emily lån_swish</vt:lpstr>
      <vt:lpstr>lån betal</vt:lpstr>
      <vt:lpstr>2015</vt:lpstr>
      <vt:lpstr>nytt_kök</vt:lpstr>
      <vt:lpstr>Översikt</vt:lpstr>
      <vt:lpstr>löneutv</vt:lpstr>
      <vt:lpstr>2014</vt:lpstr>
      <vt:lpstr>dekl</vt:lpstr>
      <vt:lpstr>2013</vt:lpstr>
      <vt:lpstr>2011</vt:lpstr>
      <vt:lpstr>2010</vt:lpstr>
      <vt:lpstr>2008</vt:lpstr>
      <vt:lpstr>2007</vt:lpstr>
      <vt:lpstr>2006</vt:lpstr>
      <vt:lpstr>ekon2006</vt:lpstr>
      <vt:lpstr>2004</vt:lpstr>
      <vt:lpstr>Sheet13</vt:lpstr>
      <vt:lpstr>Ant_månader</vt:lpstr>
      <vt:lpstr>No_months1</vt:lpstr>
      <vt:lpstr>noMonths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Lövdinger Per</dc:creator>
  <cp:lastModifiedBy>Lövdinger Per</cp:lastModifiedBy>
  <dcterms:created xsi:type="dcterms:W3CDTF">2004-09-01T20:27:18Z</dcterms:created>
  <dcterms:modified xsi:type="dcterms:W3CDTF">2017-01-22T11:26:56Z</dcterms:modified>
</cp:coreProperties>
</file>