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codeName="ThisWorkbook"/>
  <mc:AlternateContent xmlns:mc="http://schemas.openxmlformats.org/markup-compatibility/2006">
    <mc:Choice Requires="x15">
      <x15ac:absPath xmlns:x15ac="http://schemas.microsoft.com/office/spreadsheetml/2010/11/ac" url="https://d.docs.live.net/a88215cb98efcb80/Documents/Excel experiments/ExcelExampleAndMakroSource/"/>
    </mc:Choice>
  </mc:AlternateContent>
  <xr:revisionPtr revIDLastSave="4" documentId="8_{87CA9812-2E90-4477-BC68-45A1574C2952}" xr6:coauthVersionLast="47" xr6:coauthVersionMax="47" xr10:uidLastSave="{D186C6B9-4647-4C5F-B53B-757E33145AFC}"/>
  <bookViews>
    <workbookView xWindow="-108" yWindow="-108" windowWidth="23256" windowHeight="12456" xr2:uid="{00000000-000D-0000-FFFF-FFFF00000000}"/>
  </bookViews>
  <sheets>
    <sheet name="StartHere" sheetId="21" r:id="rId1"/>
    <sheet name="Functions" sheetId="14" r:id="rId2"/>
    <sheet name="AliceAndBob" sheetId="12" r:id="rId3"/>
    <sheet name="AliceAndBobAdvanced" sheetId="13" r:id="rId4"/>
    <sheet name="AliceAndBobEC" sheetId="19" r:id="rId5"/>
    <sheet name="AES-_DES" sheetId="1" r:id="rId6"/>
    <sheet name="RSA" sheetId="4" r:id="rId7"/>
    <sheet name="ECurve" sheetId="7" r:id="rId8"/>
    <sheet name="Keys" sheetId="18" r:id="rId9"/>
    <sheet name="FromOpenssl" sheetId="9" r:id="rId10"/>
  </sheets>
  <definedNames>
    <definedName name="Keys">Keys!$A$1:$C$9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7" i="21" l="1"/>
  <c r="C20" i="21"/>
  <c r="C68" i="19"/>
  <c r="C52" i="19"/>
  <c r="C49" i="19"/>
  <c r="C48" i="19"/>
  <c r="C25" i="19"/>
  <c r="C9" i="19"/>
  <c r="C5" i="19"/>
  <c r="C6" i="19"/>
  <c r="C3" i="4"/>
  <c r="C2" i="4"/>
  <c r="C1" i="4"/>
  <c r="C38" i="7"/>
  <c r="C9" i="18"/>
  <c r="C6" i="7" s="1"/>
  <c r="C8" i="18"/>
  <c r="C7" i="7" s="1"/>
  <c r="C7" i="18"/>
  <c r="C6" i="18"/>
  <c r="C5" i="7" s="1"/>
  <c r="C9" i="4"/>
  <c r="C24" i="12"/>
  <c r="B9" i="18"/>
  <c r="C64" i="7" s="1"/>
  <c r="B8" i="18"/>
  <c r="C52" i="7" s="1"/>
  <c r="B7" i="18"/>
  <c r="B6" i="18"/>
  <c r="C1" i="7" s="1"/>
  <c r="C25" i="7" s="1"/>
  <c r="C35" i="7" s="1"/>
  <c r="B5" i="18"/>
  <c r="B4" i="18"/>
  <c r="B3" i="18"/>
  <c r="B2" i="18"/>
  <c r="C69" i="12" s="1"/>
  <c r="F117" i="9"/>
  <c r="F118" i="9"/>
  <c r="F119" i="9"/>
  <c r="F120" i="9"/>
  <c r="F121" i="9"/>
  <c r="C3" i="7" a="1"/>
  <c r="B79" i="4" a="1"/>
  <c r="C58" i="12" a="1"/>
  <c r="C77" i="13" a="1"/>
  <c r="G121" i="9" a="1"/>
  <c r="B38" i="4" a="1"/>
  <c r="B75" i="4" a="1"/>
  <c r="B54" i="4" a="1"/>
  <c r="B60" i="4" a="1"/>
  <c r="D69" i="4" a="1"/>
  <c r="B69" i="4" a="1"/>
  <c r="B4" i="4" a="1"/>
  <c r="B25" i="19" a="1"/>
  <c r="B28" i="19" a="1"/>
  <c r="C53" i="19" a="1"/>
  <c r="C60" i="19" a="1"/>
  <c r="B17" i="19" a="1"/>
  <c r="B9" i="19" a="1"/>
  <c r="C53" i="12" a="1"/>
  <c r="B24" i="12" a="1"/>
  <c r="G117" i="9" a="1"/>
  <c r="G118" i="9" a="1"/>
  <c r="C38" i="4" a="1"/>
  <c r="C76" i="13" a="1"/>
  <c r="D56" i="4" a="1"/>
  <c r="D70" i="4" a="1"/>
  <c r="B1" i="4" a="1"/>
  <c r="D73" i="4" a="1"/>
  <c r="B22" i="4" a="1"/>
  <c r="B54" i="19" a="1"/>
  <c r="B24" i="19" a="1"/>
  <c r="B51" i="19" a="1"/>
  <c r="B50" i="19" a="1"/>
  <c r="B10" i="19" a="1"/>
  <c r="C16" i="19" a="1"/>
  <c r="B68" i="12" a="1"/>
  <c r="G119" i="9" a="1"/>
  <c r="B70" i="12" a="1"/>
  <c r="B33" i="4" a="1"/>
  <c r="B34" i="13" a="1"/>
  <c r="B56" i="4" a="1"/>
  <c r="C22" i="4" a="1"/>
  <c r="D67" i="4" a="1"/>
  <c r="B71" i="4" a="1"/>
  <c r="B32" i="4" a="1"/>
  <c r="B49" i="19" a="1"/>
  <c r="C58" i="19" a="1"/>
  <c r="B6" i="19" a="1"/>
  <c r="B52" i="7" a="1"/>
  <c r="B59" i="12" a="1"/>
  <c r="B36" i="4" a="1"/>
  <c r="B61" i="12" a="1"/>
  <c r="B13" i="4" a="1"/>
  <c r="G120" i="9" a="1"/>
  <c r="C4" i="4" a="1"/>
  <c r="B61" i="4" a="1"/>
  <c r="B72" i="4" a="1"/>
  <c r="B10" i="4" a="1"/>
  <c r="B14" i="4" a="1"/>
  <c r="B39" i="4" a="1"/>
  <c r="B36" i="19" a="1"/>
  <c r="B53" i="19" a="1"/>
  <c r="B27" i="19" a="1"/>
  <c r="B37" i="19" a="1"/>
  <c r="B5" i="19" a="1"/>
  <c r="B16" i="19" a="1"/>
  <c r="B78" i="4" a="1"/>
  <c r="B69" i="12" a="1"/>
  <c r="D72" i="4" a="1"/>
  <c r="B74" i="4" a="1"/>
  <c r="B60" i="19" a="1"/>
  <c r="B18" i="19" a="1"/>
  <c r="B57" i="4" a="1"/>
  <c r="B23" i="4" a="1"/>
  <c r="B59" i="19" a="1"/>
  <c r="B11" i="19" a="1"/>
  <c r="B29" i="12" a="1"/>
  <c r="B29" i="13" a="1"/>
  <c r="B5" i="4" a="1"/>
  <c r="B61" i="19" a="1"/>
  <c r="C70" i="19" a="1"/>
  <c r="B48" i="19" a="1"/>
  <c r="C17" i="7" a="1"/>
  <c r="B64" i="7" a="1"/>
  <c r="B1" i="7" a="1"/>
  <c r="B57" i="12" a="1"/>
  <c r="B34" i="4" a="1"/>
  <c r="B35" i="4" a="1"/>
  <c r="B58" i="4" a="1"/>
  <c r="D55" i="4" a="1"/>
  <c r="D74" i="4" a="1"/>
  <c r="C8" i="4" a="1"/>
  <c r="B26" i="4" a="1"/>
  <c r="B73" i="19" a="1"/>
  <c r="B67" i="19" a="1"/>
  <c r="B70" i="19" a="1"/>
  <c r="B23" i="19" a="1"/>
  <c r="B35" i="19" a="1"/>
  <c r="I2" i="19" a="1"/>
  <c r="C10" i="7" a="1"/>
  <c r="B77" i="4" a="1"/>
  <c r="C13" i="4" a="1"/>
  <c r="B37" i="4" a="1"/>
  <c r="B2" i="4" a="1"/>
  <c r="B55" i="4" a="1"/>
  <c r="B73" i="4" a="1"/>
  <c r="B72" i="19" a="1"/>
  <c r="B66" i="19" a="1"/>
  <c r="B69" i="19" a="1"/>
  <c r="B8" i="19" a="1"/>
  <c r="B59" i="4" a="1"/>
  <c r="B15" i="4" a="1"/>
  <c r="B52" i="19" a="1"/>
  <c r="B62" i="19" a="1"/>
  <c r="B34" i="19" a="1"/>
  <c r="C68" i="12" a="1"/>
  <c r="B58" i="12" a="1"/>
  <c r="B52" i="12" a="1"/>
  <c r="D57" i="4" a="1"/>
  <c r="D71" i="4" a="1"/>
  <c r="B71" i="19" a="1"/>
  <c r="B7" i="19" a="1"/>
  <c r="C18" i="19" a="1"/>
  <c r="B19" i="19" a="1"/>
  <c r="C9" i="7" a="1"/>
  <c r="C35" i="4" a="1"/>
  <c r="C57" i="12" a="1"/>
  <c r="B65" i="12" a="1"/>
  <c r="B60" i="12" a="1"/>
  <c r="B80" i="4" a="1"/>
  <c r="B68" i="4" a="1"/>
  <c r="B68" i="19" a="1"/>
  <c r="B53" i="4" a="1"/>
  <c r="B70" i="4" a="1"/>
  <c r="B58" i="19" a="1"/>
  <c r="B26" i="19" a="1"/>
  <c r="C54" i="7" a="1"/>
  <c r="C18" i="21" a="1"/>
  <c r="B18" i="21" a="1"/>
  <c r="B18" i="21" l="1"/>
  <c r="C18" i="21"/>
  <c r="C3" i="7"/>
  <c r="B37" i="19"/>
  <c r="B26" i="19"/>
  <c r="B50" i="19"/>
  <c r="C60" i="19"/>
  <c r="B58" i="19"/>
  <c r="B62" i="19"/>
  <c r="B69" i="19"/>
  <c r="B23" i="19"/>
  <c r="B27" i="19"/>
  <c r="B48" i="19"/>
  <c r="B51" i="19"/>
  <c r="C53" i="19"/>
  <c r="C70" i="19"/>
  <c r="B59" i="19"/>
  <c r="B66" i="19"/>
  <c r="B70" i="19"/>
  <c r="B53" i="19"/>
  <c r="C58" i="19"/>
  <c r="B24" i="19"/>
  <c r="B28" i="19"/>
  <c r="B71" i="19"/>
  <c r="B52" i="19"/>
  <c r="B60" i="19"/>
  <c r="B67" i="19"/>
  <c r="B36" i="19"/>
  <c r="B49" i="19"/>
  <c r="B54" i="19"/>
  <c r="B25" i="19"/>
  <c r="B61" i="19"/>
  <c r="B68" i="19"/>
  <c r="B72" i="19"/>
  <c r="B73" i="19"/>
  <c r="B16" i="19"/>
  <c r="B19" i="19"/>
  <c r="C16" i="19"/>
  <c r="C23" i="19" s="1"/>
  <c r="B9" i="19"/>
  <c r="C18" i="19"/>
  <c r="B34" i="19"/>
  <c r="B8" i="19"/>
  <c r="I2" i="19"/>
  <c r="C10" i="19" s="1"/>
  <c r="B5" i="19"/>
  <c r="B6" i="19"/>
  <c r="B10" i="19"/>
  <c r="B17" i="19"/>
  <c r="B7" i="19"/>
  <c r="B11" i="19"/>
  <c r="B18" i="19"/>
  <c r="B35" i="19"/>
  <c r="C4" i="4"/>
  <c r="C76" i="13"/>
  <c r="B75" i="4"/>
  <c r="B26" i="4"/>
  <c r="B52" i="12"/>
  <c r="B80" i="4"/>
  <c r="B37" i="4"/>
  <c r="D71" i="4"/>
  <c r="B10" i="4"/>
  <c r="B35" i="4"/>
  <c r="G120" i="9"/>
  <c r="B5" i="4"/>
  <c r="B57" i="4"/>
  <c r="B34" i="13"/>
  <c r="C38" i="4"/>
  <c r="B38" i="4"/>
  <c r="D56" i="4"/>
  <c r="B29" i="13"/>
  <c r="B23" i="4"/>
  <c r="B60" i="12"/>
  <c r="D72" i="4"/>
  <c r="B69" i="12"/>
  <c r="B71" i="4"/>
  <c r="B34" i="4"/>
  <c r="B61" i="4"/>
  <c r="B4" i="4"/>
  <c r="B56" i="4"/>
  <c r="B14" i="4"/>
  <c r="B59" i="4"/>
  <c r="B13" i="4"/>
  <c r="B33" i="4"/>
  <c r="B53" i="4"/>
  <c r="B60" i="4"/>
  <c r="G118" i="9"/>
  <c r="B39" i="4"/>
  <c r="D57" i="4"/>
  <c r="B55" i="4"/>
  <c r="G121" i="9"/>
  <c r="B58" i="12"/>
  <c r="B65" i="12"/>
  <c r="C13" i="4"/>
  <c r="B57" i="12"/>
  <c r="B61" i="12"/>
  <c r="B70" i="12"/>
  <c r="D74" i="4"/>
  <c r="G117" i="9"/>
  <c r="C77" i="13"/>
  <c r="B29" i="12"/>
  <c r="C57" i="12"/>
  <c r="B1" i="4"/>
  <c r="D69" i="4"/>
  <c r="B68" i="4"/>
  <c r="B72" i="4"/>
  <c r="B77" i="4"/>
  <c r="B1" i="7"/>
  <c r="B15" i="4"/>
  <c r="B22" i="4"/>
  <c r="B32" i="4"/>
  <c r="B36" i="4"/>
  <c r="D55" i="4"/>
  <c r="B54" i="4"/>
  <c r="B58" i="4"/>
  <c r="D73" i="4"/>
  <c r="G119" i="9"/>
  <c r="B24" i="12"/>
  <c r="C58" i="12"/>
  <c r="C68" i="12"/>
  <c r="B2" i="4"/>
  <c r="C35" i="4"/>
  <c r="D70" i="4"/>
  <c r="B69" i="4"/>
  <c r="B73" i="4"/>
  <c r="B78" i="4"/>
  <c r="B64" i="7"/>
  <c r="B59" i="12"/>
  <c r="B68" i="12"/>
  <c r="C22" i="4"/>
  <c r="C53" i="12"/>
  <c r="C8" i="4"/>
  <c r="D67" i="4"/>
  <c r="B70" i="4"/>
  <c r="B74" i="4"/>
  <c r="B79" i="4"/>
  <c r="C54" i="7"/>
  <c r="C9" i="7"/>
  <c r="C10" i="7"/>
  <c r="C17" i="7"/>
  <c r="C30" i="7" s="1"/>
  <c r="B52" i="7"/>
  <c r="C52" i="12"/>
  <c r="C29" i="13"/>
  <c r="C32" i="4"/>
  <c r="C73" i="13"/>
  <c r="C2" i="7"/>
  <c r="C34" i="13"/>
  <c r="C91" i="13"/>
  <c r="C29" i="12"/>
  <c r="C78" i="13" a="1"/>
  <c r="C36" i="19" a="1"/>
  <c r="B7" i="7" a="1"/>
  <c r="C26" i="4" a="1"/>
  <c r="C11" i="19" a="1"/>
  <c r="C39" i="4" a="1"/>
  <c r="D13" i="7" a="1"/>
  <c r="C5" i="4" a="1"/>
  <c r="C23" i="4" a="1"/>
  <c r="C11" i="7" a="1"/>
  <c r="C10" i="4" a="1"/>
  <c r="C34" i="19" a="1"/>
  <c r="C54" i="12" a="1"/>
  <c r="C26" i="19" a="1"/>
  <c r="C54" i="19" a="1"/>
  <c r="C16" i="4" a="1"/>
  <c r="C13" i="7" a="1"/>
  <c r="C5" i="4" l="1"/>
  <c r="C54" i="19"/>
  <c r="C26" i="19"/>
  <c r="C11" i="19"/>
  <c r="C34" i="19"/>
  <c r="C36" i="19"/>
  <c r="C78" i="13"/>
  <c r="D13" i="7"/>
  <c r="C42" i="7"/>
  <c r="C13" i="7"/>
  <c r="C54" i="12"/>
  <c r="C26" i="4"/>
  <c r="C23" i="4"/>
  <c r="C16" i="4"/>
  <c r="C10" i="4"/>
  <c r="C11" i="7"/>
  <c r="C12" i="7" s="1"/>
  <c r="C39" i="4"/>
  <c r="C26" i="7"/>
  <c r="C36" i="7" s="1"/>
  <c r="C40" i="7"/>
  <c r="B7" i="7"/>
  <c r="B68" i="7" a="1"/>
  <c r="B55" i="7" a="1"/>
  <c r="C82" i="13" a="1"/>
  <c r="C28" i="19" a="1"/>
  <c r="C9" i="13" a="1"/>
  <c r="B62" i="7" a="1"/>
  <c r="C60" i="12" a="1"/>
  <c r="B57" i="7" a="1"/>
  <c r="B56" i="7" a="1"/>
  <c r="C81" i="13" a="1"/>
  <c r="B53" i="7" a="1"/>
  <c r="C50" i="7" a="1"/>
  <c r="C14" i="4" a="1"/>
  <c r="B66" i="7" a="1"/>
  <c r="B54" i="7" a="1"/>
  <c r="C17" i="4" a="1"/>
  <c r="B65" i="7" a="1"/>
  <c r="C61" i="19" a="1"/>
  <c r="C90" i="13" a="1"/>
  <c r="C7" i="13" a="1"/>
  <c r="C13" i="13" a="1"/>
  <c r="B67" i="7" a="1"/>
  <c r="B48" i="7" a="1"/>
  <c r="C19" i="19" a="1"/>
  <c r="B63" i="7" a="1"/>
  <c r="C28" i="19" l="1"/>
  <c r="C61" i="19"/>
  <c r="C19" i="19"/>
  <c r="C60" i="12"/>
  <c r="C17" i="4"/>
  <c r="C14" i="4"/>
  <c r="C90" i="13"/>
  <c r="C82" i="13"/>
  <c r="C81" i="13"/>
  <c r="C13" i="13"/>
  <c r="C9" i="13"/>
  <c r="C7" i="13"/>
  <c r="B68" i="7"/>
  <c r="B63" i="7"/>
  <c r="B65" i="7"/>
  <c r="B62" i="7"/>
  <c r="B66" i="7"/>
  <c r="B67" i="7"/>
  <c r="C50" i="7"/>
  <c r="B55" i="7"/>
  <c r="B56" i="7"/>
  <c r="B57" i="7"/>
  <c r="B53" i="7"/>
  <c r="B54" i="7"/>
  <c r="B48" i="7"/>
  <c r="C37" i="19" a="1"/>
  <c r="C62" i="19" a="1"/>
  <c r="C65" i="12" a="1"/>
  <c r="C10" i="13" a="1"/>
  <c r="C16" i="13" a="1"/>
  <c r="C61" i="12" a="1"/>
  <c r="C53" i="7" a="1"/>
  <c r="C15" i="4" a="1"/>
  <c r="C35" i="19" a="1"/>
  <c r="C27" i="13" a="1"/>
  <c r="C62" i="19" l="1"/>
  <c r="C37" i="19"/>
  <c r="C66" i="19"/>
  <c r="C35" i="19"/>
  <c r="C53" i="7"/>
  <c r="C15" i="4"/>
  <c r="C65" i="12"/>
  <c r="C61" i="12"/>
  <c r="C62" i="7"/>
  <c r="C16" i="13"/>
  <c r="C10" i="13"/>
  <c r="C43" i="13" s="1"/>
  <c r="C27" i="13"/>
  <c r="C30" i="13" a="1"/>
  <c r="B8" i="7" a="1"/>
  <c r="B2" i="7" a="1"/>
  <c r="B32" i="7" a="1"/>
  <c r="B3" i="7" a="1"/>
  <c r="B31" i="7" a="1"/>
  <c r="B19" i="7" a="1"/>
  <c r="B40" i="7" a="1"/>
  <c r="B16" i="7" a="1"/>
  <c r="B21" i="4" a="1"/>
  <c r="B6" i="7" a="1"/>
  <c r="B28" i="7" a="1"/>
  <c r="C65" i="7" a="1"/>
  <c r="B12" i="4" a="1"/>
  <c r="B33" i="7" a="1"/>
  <c r="B35" i="7" a="1"/>
  <c r="B3" i="4" a="1"/>
  <c r="B26" i="7" a="1"/>
  <c r="B39" i="7" a="1"/>
  <c r="B25" i="7" a="1"/>
  <c r="C70" i="12" a="1"/>
  <c r="B5" i="7" a="1"/>
  <c r="B10" i="7" a="1"/>
  <c r="B24" i="7" a="1"/>
  <c r="B29" i="7" a="1"/>
  <c r="B27" i="7" a="1"/>
  <c r="C69" i="19" a="1"/>
  <c r="B15" i="7" a="1"/>
  <c r="B38" i="7" a="1"/>
  <c r="B30" i="7" a="1"/>
  <c r="B36" i="7" a="1"/>
  <c r="B9" i="7" a="1"/>
  <c r="C57" i="7" a="1"/>
  <c r="B20" i="4" a="1"/>
  <c r="B11" i="7" a="1"/>
  <c r="B41" i="7" a="1"/>
  <c r="B11" i="4" a="1"/>
  <c r="C84" i="13" a="1"/>
  <c r="C18" i="13" a="1"/>
  <c r="B42" i="7" a="1"/>
  <c r="B22" i="7" a="1"/>
  <c r="B18" i="7" a="1"/>
  <c r="B19" i="4" a="1"/>
  <c r="B17" i="7" a="1"/>
  <c r="B37" i="7" a="1"/>
  <c r="C22" i="13" a="1"/>
  <c r="C21" i="13" a="1"/>
  <c r="B43" i="7" a="1"/>
  <c r="C70" i="12" l="1"/>
  <c r="C69" i="19"/>
  <c r="C65" i="7"/>
  <c r="C57" i="7"/>
  <c r="C84" i="13"/>
  <c r="C30" i="13"/>
  <c r="C22" i="13"/>
  <c r="C21" i="13"/>
  <c r="C18" i="13"/>
  <c r="C44" i="13" s="1"/>
  <c r="B3" i="4"/>
  <c r="B19" i="4"/>
  <c r="B20" i="4"/>
  <c r="B21" i="4"/>
  <c r="B12" i="4"/>
  <c r="B11" i="4"/>
  <c r="B26" i="7"/>
  <c r="B25" i="7"/>
  <c r="B24" i="7"/>
  <c r="B22" i="7"/>
  <c r="B18" i="7"/>
  <c r="B15" i="7"/>
  <c r="B16" i="7"/>
  <c r="B17" i="7"/>
  <c r="B19" i="7"/>
  <c r="B10" i="7"/>
  <c r="B9" i="7"/>
  <c r="B11" i="7"/>
  <c r="B6" i="7"/>
  <c r="B5" i="7"/>
  <c r="B8" i="7"/>
  <c r="B3" i="7"/>
  <c r="B2" i="7"/>
  <c r="B36" i="7"/>
  <c r="B37" i="7"/>
  <c r="B38" i="7"/>
  <c r="B35" i="7"/>
  <c r="B39" i="7"/>
  <c r="B40" i="7"/>
  <c r="B43" i="7"/>
  <c r="B32" i="7"/>
  <c r="B33" i="7"/>
  <c r="B42" i="7"/>
  <c r="B41" i="7"/>
  <c r="B27" i="7"/>
  <c r="B28" i="7"/>
  <c r="B29" i="7"/>
  <c r="B30" i="7"/>
  <c r="B31" i="7"/>
  <c r="C67" i="7" a="1"/>
  <c r="C31" i="13" a="1"/>
  <c r="C89" i="13" a="1"/>
  <c r="C85" i="13" a="1"/>
  <c r="C73" i="19" a="1"/>
  <c r="C67" i="7" l="1"/>
  <c r="C73" i="19"/>
  <c r="C31" i="13"/>
  <c r="C45" i="13" s="1"/>
  <c r="C85" i="13"/>
  <c r="C89" i="13"/>
  <c r="C68" i="7" a="1"/>
  <c r="C92" i="13" a="1"/>
  <c r="C68" i="7" l="1"/>
  <c r="C92" i="13"/>
  <c r="C15" i="7"/>
  <c r="C29" i="7" l="1"/>
  <c r="C18" i="7"/>
  <c r="C31" i="7" a="1"/>
  <c r="B22" i="13" a="1"/>
  <c r="B22" i="12" a="1"/>
  <c r="B7" i="12" a="1"/>
  <c r="B9" i="12" a="1"/>
  <c r="C7" i="12" a="1"/>
  <c r="B92" i="13" a="1"/>
  <c r="B91" i="13" a="1"/>
  <c r="B9" i="13" a="1"/>
  <c r="B75" i="13" a="1"/>
  <c r="B88" i="13" a="1"/>
  <c r="B27" i="13" a="1"/>
  <c r="B74" i="13" a="1"/>
  <c r="C9" i="12" a="1"/>
  <c r="B89" i="13" a="1"/>
  <c r="B21" i="13" a="1"/>
  <c r="B76" i="13" a="1"/>
  <c r="B73" i="13" a="1"/>
  <c r="C13" i="12" a="1"/>
  <c r="C19" i="7" a="1"/>
  <c r="B64" i="12" a="1"/>
  <c r="B78" i="13" a="1"/>
  <c r="B7" i="13" a="1"/>
  <c r="B77" i="13" a="1"/>
  <c r="B90" i="13" a="1"/>
  <c r="C19" i="7" l="1"/>
  <c r="C32" i="7" s="1"/>
  <c r="C31" i="7"/>
  <c r="C22" i="7"/>
  <c r="C39" i="7"/>
  <c r="G31" i="7"/>
  <c r="B78" i="13"/>
  <c r="B21" i="13"/>
  <c r="B22" i="13"/>
  <c r="B76" i="13"/>
  <c r="B77" i="13"/>
  <c r="B7" i="13"/>
  <c r="B27" i="13"/>
  <c r="B90" i="13"/>
  <c r="B91" i="13"/>
  <c r="C9" i="12"/>
  <c r="B7" i="12"/>
  <c r="B64" i="12"/>
  <c r="B88" i="13"/>
  <c r="B9" i="12"/>
  <c r="B9" i="13"/>
  <c r="B89" i="13"/>
  <c r="B92" i="13"/>
  <c r="C7" i="12"/>
  <c r="B22" i="12"/>
  <c r="C13" i="12"/>
  <c r="B73" i="13"/>
  <c r="B74" i="13"/>
  <c r="B75" i="13"/>
  <c r="A46" i="13"/>
  <c r="A45" i="13"/>
  <c r="A47" i="13"/>
  <c r="A44" i="13"/>
  <c r="A38" i="12"/>
  <c r="A37" i="12"/>
  <c r="A36" i="12"/>
  <c r="A35" i="12"/>
  <c r="C80" i="9"/>
  <c r="C42" i="4" s="1"/>
  <c r="C81" i="9"/>
  <c r="C43" i="4" s="1"/>
  <c r="C82" i="9"/>
  <c r="C49" i="4" s="1"/>
  <c r="C83" i="9"/>
  <c r="C84" i="9"/>
  <c r="C45" i="4" s="1"/>
  <c r="C85" i="9"/>
  <c r="C86" i="9"/>
  <c r="C47" i="4" s="1"/>
  <c r="C87" i="9"/>
  <c r="C48" i="4" s="1"/>
  <c r="C88" i="9"/>
  <c r="B39" i="13" a="1"/>
  <c r="B13" i="13" a="1"/>
  <c r="B10" i="12" a="1"/>
  <c r="B38" i="12" a="1"/>
  <c r="C56" i="4" a="1"/>
  <c r="B13" i="12" a="1"/>
  <c r="H2" i="13" a="1"/>
  <c r="C10" i="12" a="1"/>
  <c r="B54" i="12" a="1"/>
  <c r="B40" i="13" a="1"/>
  <c r="B17" i="12" a="1"/>
  <c r="B47" i="13" a="1"/>
  <c r="C16" i="12" a="1"/>
  <c r="B46" i="13" a="1"/>
  <c r="B16" i="13" a="1"/>
  <c r="J2" i="13" a="1"/>
  <c r="B44" i="13" a="1"/>
  <c r="B18" i="13" a="1"/>
  <c r="B10" i="13" a="1"/>
  <c r="B31" i="12" a="1"/>
  <c r="B26" i="12" a="1"/>
  <c r="C31" i="12" a="1"/>
  <c r="C41" i="7" a="1"/>
  <c r="B31" i="13" a="1"/>
  <c r="B35" i="12" a="1"/>
  <c r="B43" i="13" a="1"/>
  <c r="B45" i="13" a="1"/>
  <c r="C89" i="9" a="1"/>
  <c r="B16" i="12" a="1"/>
  <c r="C22" i="12" a="1"/>
  <c r="B53" i="12" a="1"/>
  <c r="B25" i="12" a="1"/>
  <c r="B37" i="12" a="1"/>
  <c r="B30" i="13" a="1"/>
  <c r="B32" i="12" a="1"/>
  <c r="B36" i="12" a="1"/>
  <c r="C33" i="7" l="1"/>
  <c r="C89" i="9"/>
  <c r="C56" i="4"/>
  <c r="C41" i="7"/>
  <c r="C43" i="7" s="1"/>
  <c r="C31" i="12"/>
  <c r="C44" i="4"/>
  <c r="C46" i="4"/>
  <c r="C22" i="12"/>
  <c r="C16" i="12"/>
  <c r="C10" i="12"/>
  <c r="C35" i="12" s="1"/>
  <c r="B39" i="13"/>
  <c r="B10" i="13"/>
  <c r="B45" i="13"/>
  <c r="B13" i="13"/>
  <c r="B30" i="13"/>
  <c r="B40" i="13"/>
  <c r="B44" i="13"/>
  <c r="B18" i="13"/>
  <c r="B16" i="13"/>
  <c r="B31" i="13"/>
  <c r="B43" i="13"/>
  <c r="H2" i="13"/>
  <c r="C37" i="13" s="1"/>
  <c r="B47" i="13"/>
  <c r="B46" i="13"/>
  <c r="J2" i="13"/>
  <c r="B32" i="12"/>
  <c r="B54" i="12"/>
  <c r="B35" i="12"/>
  <c r="B25" i="12"/>
  <c r="B36" i="12"/>
  <c r="B13" i="12"/>
  <c r="B37" i="12"/>
  <c r="B16" i="12"/>
  <c r="B10" i="12"/>
  <c r="B31" i="12"/>
  <c r="B38" i="12"/>
  <c r="B53" i="12"/>
  <c r="B17" i="12"/>
  <c r="B26" i="12"/>
  <c r="A48" i="4"/>
  <c r="A47" i="4"/>
  <c r="A46" i="4"/>
  <c r="A45" i="4"/>
  <c r="A44" i="4"/>
  <c r="A49" i="4"/>
  <c r="A43" i="4"/>
  <c r="A68" i="4" s="1"/>
  <c r="A42" i="4"/>
  <c r="A53" i="4" s="1"/>
  <c r="C32" i="12" a="1"/>
  <c r="C57" i="4" a="1"/>
  <c r="C17" i="12" a="1"/>
  <c r="D60" i="4" a="1"/>
  <c r="D58" i="4" a="1"/>
  <c r="D53" i="4" a="1"/>
  <c r="C38" i="13" a="1"/>
  <c r="D59" i="4" a="1"/>
  <c r="D54" i="4" a="1"/>
  <c r="D61" i="4" a="1"/>
  <c r="C55" i="4" a="1"/>
  <c r="C25" i="12" a="1"/>
  <c r="C39" i="13" a="1"/>
  <c r="D68" i="4" a="1"/>
  <c r="C25" i="12" l="1"/>
  <c r="C57" i="4"/>
  <c r="D68" i="4"/>
  <c r="C55" i="4"/>
  <c r="C32" i="12"/>
  <c r="C37" i="12" s="1"/>
  <c r="C39" i="13"/>
  <c r="C38" i="13"/>
  <c r="C46" i="13" s="1"/>
  <c r="D60" i="4"/>
  <c r="D61" i="4"/>
  <c r="D58" i="4"/>
  <c r="D54" i="4"/>
  <c r="D59" i="4"/>
  <c r="D53" i="4"/>
  <c r="C77" i="4"/>
  <c r="C17" i="12"/>
  <c r="C36" i="12" s="1"/>
  <c r="C26" i="12" a="1"/>
  <c r="C58" i="4" a="1"/>
  <c r="C54" i="4" a="1"/>
  <c r="C79" i="4" a="1"/>
  <c r="C53" i="4" a="1"/>
  <c r="C40" i="13" a="1"/>
  <c r="C59" i="4" a="1"/>
  <c r="C62" i="4" a="1"/>
  <c r="C60" i="4" a="1"/>
  <c r="C40" i="13" l="1"/>
  <c r="C53" i="4"/>
  <c r="C26" i="12"/>
  <c r="C38" i="12" s="1"/>
  <c r="C58" i="4"/>
  <c r="C60" i="4"/>
  <c r="C59" i="4"/>
  <c r="C62" i="4"/>
  <c r="C54" i="4"/>
  <c r="C47" i="13"/>
  <c r="C79" i="4"/>
  <c r="B82" i="4" s="1"/>
  <c r="G32" i="7"/>
  <c r="C80" i="4" a="1"/>
  <c r="C63" i="4" a="1"/>
  <c r="C63" i="4" l="1"/>
  <c r="C80" i="4"/>
  <c r="B83" i="4" s="1"/>
  <c r="B85" i="4" a="1"/>
  <c r="C24" i="7" l="1"/>
  <c r="B85" i="4"/>
  <c r="E23" i="1" l="1"/>
  <c r="B14" i="1"/>
  <c r="B12" i="1"/>
  <c r="B20" i="1" s="1"/>
  <c r="B11" i="1"/>
  <c r="B19" i="1" s="1"/>
  <c r="B5" i="1"/>
  <c r="B4" i="1"/>
  <c r="B3" i="1"/>
  <c r="F7" i="1"/>
  <c r="F6" i="1"/>
  <c r="F5" i="1"/>
  <c r="F4" i="1"/>
  <c r="B22" i="1" a="1"/>
  <c r="B6" i="1" a="1"/>
  <c r="B15" i="1" a="1"/>
  <c r="B6" i="1" l="1"/>
  <c r="B15" i="1"/>
  <c r="B22" i="1"/>
  <c r="B27" i="1"/>
  <c r="B26" i="1"/>
  <c r="B21" i="1"/>
  <c r="B29" i="1" a="1"/>
  <c r="B23" i="1" a="1"/>
  <c r="B7" i="1" a="1"/>
  <c r="B16" i="1" a="1"/>
  <c r="B23" i="1" l="1"/>
  <c r="B29" i="1"/>
  <c r="B16" i="1"/>
  <c r="B7" i="1"/>
  <c r="B28" i="1"/>
  <c r="B30" i="1" a="1"/>
  <c r="B30" i="1" l="1"/>
  <c r="C6" i="1"/>
  <c r="C4" i="1"/>
  <c r="C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<sst xmlns="http://schemas.openxmlformats.org/spreadsheetml/2006/main" count="791" uniqueCount="571">
  <si>
    <t>Plain</t>
  </si>
  <si>
    <t>Key</t>
  </si>
  <si>
    <t>IV</t>
  </si>
  <si>
    <t>Mode</t>
  </si>
  <si>
    <t>CBC</t>
  </si>
  <si>
    <t>https://stackoverflow.com/questions/67294035/basic-encrypting-of-a-text-file</t>
  </si>
  <si>
    <t xml:space="preserve">  RtlMoveMemory bIV(0), ByVal inpIV, ivLength</t>
  </si>
  <si>
    <t>BBD2C5A71075E3CBC4966755359BFA0A250E5066C84DE965445121DCDE21A526</t>
  </si>
  <si>
    <t>Decrypt</t>
  </si>
  <si>
    <t>AES 128 vector 1</t>
  </si>
  <si>
    <t>AES Vector 1 ECB</t>
  </si>
  <si>
    <t>2b7e151628aed2a6abf7158809cf4f3c</t>
  </si>
  <si>
    <t>000102030405060708090A0B0C0D0E0F</t>
  </si>
  <si>
    <t>6bc1bee22e409f96e93d7e117393172a</t>
  </si>
  <si>
    <t>7649abac8119b246cee98e9b12e9197d</t>
  </si>
  <si>
    <t>Cipher</t>
  </si>
  <si>
    <t>ECB</t>
  </si>
  <si>
    <t xml:space="preserve">    00:a3:01:00:b2:c8:b5:c4:b1:a0:97:73:2b:b6:da:</t>
  </si>
  <si>
    <t xml:space="preserve">    7f:17:f1:5c:bf:7c:11:ee:d7:93:f0:e1:1c:81:6a:</t>
  </si>
  <si>
    <t xml:space="preserve">    7a:f1:cb:3d:c9:2c:84:86:dc:77:72:3b:e7:5e:85:</t>
  </si>
  <si>
    <t xml:space="preserve">    43:24:35:cb:0b:50:ce:fc:32:0a:88:9b:a7:ab:24:</t>
  </si>
  <si>
    <t xml:space="preserve">    15:a0:e5:11:ea:5f:e4:f8:e2:a0:a8:d1:60:71:13:</t>
  </si>
  <si>
    <t xml:space="preserve">    f2:de:0f:fc:4a:96:29:fd:56:38:c3:9a:1a:5b:1f:</t>
  </si>
  <si>
    <t xml:space="preserve">    b8:9c:1e:36:17:0c:3c:77:cb:29:8e:45:bd:87:ab:</t>
  </si>
  <si>
    <t xml:space="preserve">    cc:f5:c7:f3:69:38:d6:24:c6:60:b3:12:c3:03:ee:</t>
  </si>
  <si>
    <t xml:space="preserve">    8a:fe:63:cd:1b:9d:2c:51:83:d9:5f:e3:f1:a8:05:</t>
  </si>
  <si>
    <t xml:space="preserve">    50:4f:35:aa:61:b2:42:79:e9:49:18:7f:70:89:68:</t>
  </si>
  <si>
    <t xml:space="preserve">    15:3c:2e:d1:a8:4f:8d:16:a2:9e:4f:51:d5:7e:99:</t>
  </si>
  <si>
    <t xml:space="preserve">    6f:3a:ab:b0:c8:18:55:2d:8b:a9:87:ca:68:36:57:</t>
  </si>
  <si>
    <t xml:space="preserve">    be:3a:9d:f1:05:bd:32:8e:a6:f6:f2:6e:7c:b6:ed:</t>
  </si>
  <si>
    <t xml:space="preserve">    13:e8:92:47:46:99:b9:f1:91:46:08:c4:e3:13:da:</t>
  </si>
  <si>
    <t xml:space="preserve">    df:ce:d9:ac:42:52:5f:3a:6f:2d:12:2e:1d:97:cc:</t>
  </si>
  <si>
    <t xml:space="preserve">    ca:ab:12:9c:23:dc:ea:06:29:0a:51:ea:4f:60:b2:</t>
  </si>
  <si>
    <t xml:space="preserve">    dd:b2:f8:84:fc:f4:c5:e7:0e:33:66:d9:1a:1d:0f:</t>
  </si>
  <si>
    <t xml:space="preserve">    f6:5f</t>
  </si>
  <si>
    <t>read EC key</t>
  </si>
  <si>
    <t>Private-Key: (256 bit)</t>
  </si>
  <si>
    <t>priv:</t>
  </si>
  <si>
    <t>pub:</t>
  </si>
  <si>
    <t>ASN1 OID: prime256v1</t>
  </si>
  <si>
    <t>NIST CURVE: P-256</t>
  </si>
  <si>
    <t>writing EC key</t>
  </si>
  <si>
    <t>-----BEGIN EC PRIVATE KEY-----</t>
  </si>
  <si>
    <t>-----END EC PRIVATE KEY-----</t>
  </si>
  <si>
    <t>Modulus</t>
  </si>
  <si>
    <t>Exponent</t>
  </si>
  <si>
    <t>-----BEGIN PRIVATE KEY-----</t>
  </si>
  <si>
    <t>MIIEvgIBADANBgkqhkiG9w0BAQEFAASCBKgwggSkAgEAAoIBAQCjAQCyyLXEsaCX</t>
  </si>
  <si>
    <t>cyu22n8X8Vy/fBHu15Pw4RyBanrxyz3JLISG3HdyO+dehUMkNcsLUM78MgqIm6er</t>
  </si>
  <si>
    <t>JBWg5RHqX+T44qCo0WBxE/LeD/xKlin9VjjDmhpbH7icHjYXDDx3yymORb2Hq8z1</t>
  </si>
  <si>
    <t>x/NpONYkxmCzEsMD7or+Y80bnSxRg9lf4/GoBVBPNaphskJ56UkYf3CJaBU8LtGo</t>
  </si>
  <si>
    <t>T40Wop5PUdV+mW86q7DIGFUti6mHymg2V746nfEFvTKOpvbybny27RPokkdGmbnx</t>
  </si>
  <si>
    <t>kUYIxOMT2t/O2axCUl86by0SLh2XzMqrEpwj3OoGKQpR6k9gst2y+IT89MXnDjNm</t>
  </si>
  <si>
    <t>2RodD/ZfAgMBAAECggEBAIcDTpvHSV9pLTYkrAGhywF+5q6oSoZFQ4GSQ7UiCEF8</t>
  </si>
  <si>
    <t>cWnPGNpHhBw3Z/XPdYRplguCXF9h532tR9ymX8/LzOIPma1YsXADNNmUh2bNYNA6</t>
  </si>
  <si>
    <t>vv7aStwhKVFu3c9Z6r1+YhtrSLlSJKFaeMLfYks2S5FcSz4n/SWlkLUS3xHPRqUg</t>
  </si>
  <si>
    <t>uQhNaz2wokQG0gYzDHIMJvHyL0EgE9w+LZ2jnMQH6jm58tsGgLXsuK41oAR7cfFH</t>
  </si>
  <si>
    <t>pyBomQLmWfbQBGpBAQrIzEImlg2H7BJgyej6eT2NTGcRcT6F7Nw7t/pcCwqGtQnO</t>
  </si>
  <si>
    <t>PrGzBEPyQuhwSCzrF2Apj2uxpxRpZDaIjFFcjAlUAtECgYEA0bT3s5SY6NxS3gO4</t>
  </si>
  <si>
    <t>7leHVyVlfYfE/WKDENe/4tW+OSldmZbvzm8sAYDslUR3mtvZ0Fb34hhLQNslSlFy</t>
  </si>
  <si>
    <t>s2col439KUVr1Fa0us5JXXSYupG2sicxbgN1j6e+i5xciNtq5pdNc7jAUdS7F9Ho</t>
  </si>
  <si>
    <t>AjkvkoT++dZVZJWR8+gSDLkJgYcCgYEAxvy9MCm/7NQ5atSFM/JtX0Ch2GR0giJC</t>
  </si>
  <si>
    <t>gZ24q0J6byqyke4ZKdEn7RAfvw04Q9PHKm/YslabnNlI0+qcRQkJOSl4h4eMI0XH</t>
  </si>
  <si>
    <t>Wa/E/GQE8wzs3NO95uxCNYdEhMZRVKvEOPAJxrZDh9uyKpihTjWkcwT1i6Gwk5ig</t>
  </si>
  <si>
    <t>sbVWf230+mkCgYAWpsyGuktWA85zqsVEAXJeCG0RBSRTFlv/6r4QW3QjqoMwvuwC</t>
  </si>
  <si>
    <t>SWHge7OSYAXnVU4OwgYehu9B/ynlAC06ka8Bx9WLqrL+CauV7ghgruJ8bJbmYXNm</t>
  </si>
  <si>
    <t>ZbtCHCVp4SbhpYnDhJ5aHJ+xdyAKb6L28oRf+DuucudgaQON7AhfFXGgawKBgFZb</t>
  </si>
  <si>
    <t>dVejptGHQOvmE3D58xF1oUeiQRYA/E/4PR7GGRCJvTmr1Wvag7NUXhKyEAsPq831</t>
  </si>
  <si>
    <t>AFxVTe+CNSMTHIKxazlNkCtxXhYowF1h9OF8HtHEeD9V/YJsYkeMzuW4k69lZCE5</t>
  </si>
  <si>
    <t>u2Rr0V7yr53g45Bno1jvfAj/QPytLoAxLLrc44aRAoGBAJje8xMhvLu6Ygom1srH</t>
  </si>
  <si>
    <t>qSmfmcHUbeZAFP5/K5Ej0lhBya+B/3ImW7BOm10OX2UVSkIID4Qz8KRDTNtdl2kS</t>
  </si>
  <si>
    <t>2duHhPGG61vqYWq9O8WR83iJNuNkD4qq/gfx0WnY0YyYpdmXw0vy1Vc5RYBRkstk</t>
  </si>
  <si>
    <t>yHcHzfR/OIXga34bdHMqOrtE</t>
  </si>
  <si>
    <t>-----END PRIVATE KEY-----</t>
  </si>
  <si>
    <t>-----BEGIN PUBLIC KEY-----</t>
  </si>
  <si>
    <t>MIIBIjANBgkqhkiG9w0BAQEFAAOCAQ8AMIIBCgKCAQEAowEAssi1xLGgl3Mrttp/</t>
  </si>
  <si>
    <t>F/Fcv3wR7teT8OEcgWp68cs9ySyEhtx3cjvnXoVDJDXLC1DO/DIKiJunqyQVoOUR</t>
  </si>
  <si>
    <t>6l/k+OKgqNFgcRPy3g/8SpYp/VY4w5oaWx+4nB42Fww8d8spjkW9h6vM9cfzaTjW</t>
  </si>
  <si>
    <t>JMZgsxLDA+6K/mPNG50sUYPZX+PxqAVQTzWqYbJCeelJGH9wiWgVPC7RqE+NFqKe</t>
  </si>
  <si>
    <t>T1HVfplvOquwyBhVLYuph8poNle+Op3xBb0yjqb28m58tu0T6JJHRpm58ZFGCMTj</t>
  </si>
  <si>
    <t>E9rfztmsQlJfOm8tEi4dl8zKqxKcI9zqBikKUepPYLLdsviE/PTF5w4zZtkaHQ/2</t>
  </si>
  <si>
    <t>XwIDAQAB</t>
  </si>
  <si>
    <t>-----END PUBLIC KEY-----</t>
  </si>
  <si>
    <t>MFkwEwYHKoZIzj0CAQYIKoZIzj0DAQcDQgAEdlDsUIpBcMsRcjYeW9wmo9YKFSsf</t>
  </si>
  <si>
    <t>LRg0TGlm2uUMenxxGRiiKKF/BB18TO06cZJ92HGbnEdfh9Rygd3o5XaUlg==</t>
  </si>
  <si>
    <t>MHcCAQEEIAlB93bN6RnTwuYebq9AIEUYTWLCQR20FKG/Jy9gCMrcoAoGCCqGSM49</t>
  </si>
  <si>
    <t>AwEHoUQDQgAEkerBdkk6Lw/+77HVzmcVOZsZgXoH1qmeEZb+cQUwg6bUihbEFQrI</t>
  </si>
  <si>
    <t>RSaIf/VQNUDqNZGFzdTOeNoEzVlbyrLPcw==</t>
  </si>
  <si>
    <t>BobPrivate</t>
  </si>
  <si>
    <t>SGVyZSBpcyBzb21lIG90aGVyIGluZm8K</t>
  </si>
  <si>
    <t>AppendBase64</t>
  </si>
  <si>
    <t>AppendHexStr</t>
  </si>
  <si>
    <t>Prepend</t>
  </si>
  <si>
    <t>DataToHash</t>
  </si>
  <si>
    <t xml:space="preserve">Hash </t>
  </si>
  <si>
    <t>00000001CA3C2944EF4D7FCACFA06AE491CE303FAE8F7CDA53F99F8C5F71B4FCBCB8BC504865726520697320736F6D65206F7468657220696E666F0A</t>
  </si>
  <si>
    <t>RSA_Encrypt</t>
  </si>
  <si>
    <t>RSA_Decrypt</t>
  </si>
  <si>
    <t>CreateRSAPublicPem</t>
  </si>
  <si>
    <t>DataKeyAndSign/keys/encryptPrivate.pem</t>
  </si>
  <si>
    <t>Private-Key: (2048 bit, 2 primes)</t>
  </si>
  <si>
    <t>modulus:</t>
  </si>
  <si>
    <t>publicExponent: 65537 (0x10001)</t>
  </si>
  <si>
    <t>privateExponent:</t>
  </si>
  <si>
    <t xml:space="preserve">    00:87:03:4e:9b:c7:49:5f:69:2d:36:24:ac:01:a1:</t>
  </si>
  <si>
    <t xml:space="preserve">    cb:01:7e:e6:ae:a8:4a:86:45:43:81:92:43:b5:22:</t>
  </si>
  <si>
    <t xml:space="preserve">    08:41:7c:71:69:cf:18:da:47:84:1c:37:67:f5:cf:</t>
  </si>
  <si>
    <t xml:space="preserve">    75:84:69:96:0b:82:5c:5f:61:e7:7d:ad:47:dc:a6:</t>
  </si>
  <si>
    <t xml:space="preserve">    5f:cf:cb:cc:e2:0f:99:ad:58:b1:70:03:34:d9:94:</t>
  </si>
  <si>
    <t xml:space="preserve">    87:66:cd:60:d0:3a:be:fe:da:4a:dc:21:29:51:6e:</t>
  </si>
  <si>
    <t xml:space="preserve">    dd:cf:59:ea:bd:7e:62:1b:6b:48:b9:52:24:a1:5a:</t>
  </si>
  <si>
    <t xml:space="preserve">    78:c2:df:62:4b:36:4b:91:5c:4b:3e:27:fd:25:a5:</t>
  </si>
  <si>
    <t xml:space="preserve">    90:b5:12:df:11:cf:46:a5:20:b9:08:4d:6b:3d:b0:</t>
  </si>
  <si>
    <t xml:space="preserve">    a2:44:06:d2:06:33:0c:72:0c:26:f1:f2:2f:41:20:</t>
  </si>
  <si>
    <t xml:space="preserve">    13:dc:3e:2d:9d:a3:9c:c4:07:ea:39:b9:f2:db:06:</t>
  </si>
  <si>
    <t xml:space="preserve">    80:b5:ec:b8:ae:35:a0:04:7b:71:f1:47:a7:20:68:</t>
  </si>
  <si>
    <t xml:space="preserve">    99:02:e6:59:f6:d0:04:6a:41:01:0a:c8:cc:42:26:</t>
  </si>
  <si>
    <t xml:space="preserve">    96:0d:87:ec:12:60:c9:e8:fa:79:3d:8d:4c:67:11:</t>
  </si>
  <si>
    <t xml:space="preserve">    71:3e:85:ec:dc:3b:b7:fa:5c:0b:0a:86:b5:09:ce:</t>
  </si>
  <si>
    <t xml:space="preserve">    3e:b1:b3:04:43:f2:42:e8:70:48:2c:eb:17:60:29:</t>
  </si>
  <si>
    <t xml:space="preserve">    8f:6b:b1:a7:14:69:64:36:88:8c:51:5c:8c:09:54:</t>
  </si>
  <si>
    <t xml:space="preserve">    02:d1</t>
  </si>
  <si>
    <t>prime1:</t>
  </si>
  <si>
    <t xml:space="preserve">    00:d1:b4:f7:b3:94:98:e8:dc:52:de:03:b8:ee:57:</t>
  </si>
  <si>
    <t xml:space="preserve">    87:57:25:65:7d:87:c4:fd:62:83:10:d7:bf:e2:d5:</t>
  </si>
  <si>
    <t xml:space="preserve">    be:39:29:5d:99:96:ef:ce:6f:2c:01:80:ec:95:44:</t>
  </si>
  <si>
    <t xml:space="preserve">    77:9a:db:d9:d0:56:f7:e2:18:4b:40:db:25:4a:51:</t>
  </si>
  <si>
    <t xml:space="preserve">    72:b3:67:28:97:8d:fd:29:45:6b:d4:56:b4:ba:ce:</t>
  </si>
  <si>
    <t xml:space="preserve">    49:5d:74:98:ba:91:b6:b2:27:31:6e:03:75:8f:a7:</t>
  </si>
  <si>
    <t xml:space="preserve">    be:8b:9c:5c:88:db:6a:e6:97:4d:73:b8:c0:51:d4:</t>
  </si>
  <si>
    <t xml:space="preserve">    bb:17:d1:e8:02:39:2f:92:84:fe:f9:d6:55:64:95:</t>
  </si>
  <si>
    <t xml:space="preserve">    91:f3:e8:12:0c:b9:09:81:87</t>
  </si>
  <si>
    <t>prime2:</t>
  </si>
  <si>
    <t xml:space="preserve">    00:c6:fc:bd:30:29:bf:ec:d4:39:6a:d4:85:33:f2:</t>
  </si>
  <si>
    <t xml:space="preserve">    6d:5f:40:a1:d8:64:74:82:22:42:81:9d:b8:ab:42:</t>
  </si>
  <si>
    <t xml:space="preserve">    7a:6f:2a:b2:91:ee:19:29:d1:27:ed:10:1f:bf:0d:</t>
  </si>
  <si>
    <t xml:space="preserve">    38:43:d3:c7:2a:6f:d8:b2:56:9b:9c:d9:48:d3:ea:</t>
  </si>
  <si>
    <t xml:space="preserve">    9c:45:09:09:39:29:78:87:87:8c:23:45:c7:59:af:</t>
  </si>
  <si>
    <t xml:space="preserve">    c4:fc:64:04:f3:0c:ec:dc:d3:bd:e6:ec:42:35:87:</t>
  </si>
  <si>
    <t xml:space="preserve">    44:84:c6:51:54:ab:c4:38:f0:09:c6:b6:43:87:db:</t>
  </si>
  <si>
    <t xml:space="preserve">    b2:2a:98:a1:4e:35:a4:73:04:f5:8b:a1:b0:93:98:</t>
  </si>
  <si>
    <t xml:space="preserve">    a0:b1:b5:56:7f:6d:f4:fa:69</t>
  </si>
  <si>
    <t>exponent1:</t>
  </si>
  <si>
    <t xml:space="preserve">    16:a6:cc:86:ba:4b:56:03:ce:73:aa:c5:44:01:72:</t>
  </si>
  <si>
    <t xml:space="preserve">    5e:08:6d:11:05:24:53:16:5b:ff:ea:be:10:5b:74:</t>
  </si>
  <si>
    <t xml:space="preserve">    23:aa:83:30:be:ec:02:49:61:e0:7b:b3:92:60:05:</t>
  </si>
  <si>
    <t xml:space="preserve">    e7:55:4e:0e:c2:06:1e:86:ef:41:ff:29:e5:00:2d:</t>
  </si>
  <si>
    <t xml:space="preserve">    3a:91:af:01:c7:d5:8b:aa:b2:fe:09:ab:95:ee:08:</t>
  </si>
  <si>
    <t xml:space="preserve">    60:ae:e2:7c:6c:96:e6:61:73:66:65:bb:42:1c:25:</t>
  </si>
  <si>
    <t xml:space="preserve">    69:e1:26:e1:a5:89:c3:84:9e:5a:1c:9f:b1:77:20:</t>
  </si>
  <si>
    <t xml:space="preserve">    0a:6f:a2:f6:f2:84:5f:f8:3b:ae:72:e7:60:69:03:</t>
  </si>
  <si>
    <t xml:space="preserve">    8d:ec:08:5f:15:71:a0:6b</t>
  </si>
  <si>
    <t>exponent2:</t>
  </si>
  <si>
    <t xml:space="preserve">    56:5b:75:57:a3:a6:d1:87:40:eb:e6:13:70:f9:f3:</t>
  </si>
  <si>
    <t xml:space="preserve">    11:75:a1:47:a2:41:16:00:fc:4f:f8:3d:1e:c6:19:</t>
  </si>
  <si>
    <t xml:space="preserve">    10:89:bd:39:ab:d5:6b:da:83:b3:54:5e:12:b2:10:</t>
  </si>
  <si>
    <t xml:space="preserve">    0b:0f:ab:cd:f5:00:5c:55:4d:ef:82:35:23:13:1c:</t>
  </si>
  <si>
    <t xml:space="preserve">    82:b1:6b:39:4d:90:2b:71:5e:16:28:c0:5d:61:f4:</t>
  </si>
  <si>
    <t xml:space="preserve">    e1:7c:1e:d1:c4:78:3f:55:fd:82:6c:62:47:8c:ce:</t>
  </si>
  <si>
    <t xml:space="preserve">    e5:b8:93:af:65:64:21:39:bb:64:6b:d1:5e:f2:af:</t>
  </si>
  <si>
    <t xml:space="preserve">    9d:e0:e3:90:67:a3:58:ef:7c:08:ff:40:fc:ad:2e:</t>
  </si>
  <si>
    <t xml:space="preserve">    80:31:2c:ba:dc:e3:86:91</t>
  </si>
  <si>
    <t>coefficient:</t>
  </si>
  <si>
    <t xml:space="preserve">    00:98:de:f3:13:21:bc:bb:ba:62:0a:26:d6:ca:c7:</t>
  </si>
  <si>
    <t xml:space="preserve">    a9:29:9f:99:c1:d4:6d:e6:40:14:fe:7f:2b:91:23:</t>
  </si>
  <si>
    <t xml:space="preserve">    d2:58:41:c9:af:81:ff:72:26:5b:b0:4e:9b:5d:0e:</t>
  </si>
  <si>
    <t xml:space="preserve">    5f:65:15:4a:42:08:0f:84:33:f0:a4:43:4c:db:5d:</t>
  </si>
  <si>
    <t xml:space="preserve">    97:69:12:d9:db:87:84:f1:86:eb:5b:ea:61:6a:bd:</t>
  </si>
  <si>
    <t xml:space="preserve">    3b:c5:91:f3:78:89:36:e3:64:0f:8a:aa:fe:07:f1:</t>
  </si>
  <si>
    <t xml:space="preserve">    d1:69:d8:d1:8c:98:a5:d9:97:c3:4b:f2:d5:57:39:</t>
  </si>
  <si>
    <t xml:space="preserve">    45:80:51:92:cb:64:c8:77:07:cd:f4:7f:38:85:e0:</t>
  </si>
  <si>
    <t xml:space="preserve">    6b:7e:1b:74:73:2a:3a:bb:44</t>
  </si>
  <si>
    <t>Public Exportnent</t>
  </si>
  <si>
    <t>Prime1</t>
  </si>
  <si>
    <t>Prime2</t>
  </si>
  <si>
    <t>Exponent1</t>
  </si>
  <si>
    <t>Exponent2</t>
  </si>
  <si>
    <t>Coefficient</t>
  </si>
  <si>
    <t xml:space="preserve">Private Exponent </t>
  </si>
  <si>
    <t>PrivateKeyBaseRaw</t>
  </si>
  <si>
    <t>PrivateKeyHex</t>
  </si>
  <si>
    <t>PrivateExponent</t>
  </si>
  <si>
    <t>Extracting from Private</t>
  </si>
  <si>
    <t>Extracting from public</t>
  </si>
  <si>
    <t>WrongParm</t>
  </si>
  <si>
    <t>AlgoRithm</t>
  </si>
  <si>
    <t>SHA256</t>
  </si>
  <si>
    <t>Hash</t>
  </si>
  <si>
    <t>Signature</t>
  </si>
  <si>
    <t>SignHash</t>
  </si>
  <si>
    <t>Verify signature</t>
  </si>
  <si>
    <t>Algorithm</t>
  </si>
  <si>
    <t>Result</t>
  </si>
  <si>
    <t>MHcCAQEEINsSQ6WUXwl8cHmbMa2JeJ6XVCuePg25Ksd5GlUl+GM2oAoGCCqGSM49</t>
  </si>
  <si>
    <t>AwEHoUQDQgAEdlDsUIpBcMsRcjYeW9wmo9YKFSsfLRg0TGlm2uUMenxxGRiiKKF/</t>
  </si>
  <si>
    <t>BB18TO06cZJ92HGbnEdfh9Rygd3o5XaUlg==</t>
  </si>
  <si>
    <t>AlicePrivate</t>
  </si>
  <si>
    <t xml:space="preserve">AlicePublic </t>
  </si>
  <si>
    <t>MFkwEwYHKoZIzj0CAQYIKoZIzj0DAQcDQgAEkerBdkk6Lw/+77HVzmcVOZsZgXoH</t>
  </si>
  <si>
    <t>1qmeEZb+cQUwg6bUihbEFQrIRSaIf/VQNUDqNZGFzdTOeNoEzVlbyrLPcw==</t>
  </si>
  <si>
    <t>BobPublic</t>
  </si>
  <si>
    <t>KeyName</t>
  </si>
  <si>
    <t>PEM</t>
  </si>
  <si>
    <t>EC_AlicePublic</t>
  </si>
  <si>
    <t>EC_AlicePrivate</t>
  </si>
  <si>
    <t>EC_BobPublic</t>
  </si>
  <si>
    <t>EC_BobPrivate</t>
  </si>
  <si>
    <t>DeriveSharedSecret</t>
  </si>
  <si>
    <t>Public-Key: (256 bit)</t>
  </si>
  <si>
    <t xml:space="preserve">    04:76:50:ec:50:8a:41:70:cb:11:72:36:1e:5b:dc:</t>
  </si>
  <si>
    <t xml:space="preserve">    26:a3:d6:0a:15:2b:1f:2d:18:34:4c:69:66:da:e5:</t>
  </si>
  <si>
    <t xml:space="preserve">    0c:7a:7c:71:19:18:a2:28:a1:7f:04:1d:7c:4c:ed:</t>
  </si>
  <si>
    <t xml:space="preserve">    3a:71:92:7d:d8:71:9b:9c:47:5f:87:d4:72:81:dd:</t>
  </si>
  <si>
    <t xml:space="preserve">    e8:e5:76:94:96</t>
  </si>
  <si>
    <t>Alice Public</t>
  </si>
  <si>
    <t xml:space="preserve">    db:12:43:a5:94:5f:09:7c:70:79:9b:31:ad:89:78:</t>
  </si>
  <si>
    <t xml:space="preserve">    9e:97:54:2b:9e:3e:0d:b9:2a:c7:79:1a:55:25:f8:</t>
  </si>
  <si>
    <t xml:space="preserve">    63:36</t>
  </si>
  <si>
    <t>Curve</t>
  </si>
  <si>
    <t>EC_CreatePublicPEM</t>
  </si>
  <si>
    <t xml:space="preserve">    09:41:f7:76:cd:e9:19:d3:c2:e6:1e:6e:af:40:20:</t>
  </si>
  <si>
    <t xml:space="preserve">    45:18:4d:62:c2:41:1d:b4:14:a1:bf:27:2f:60:08:</t>
  </si>
  <si>
    <t xml:space="preserve">    ca:dc</t>
  </si>
  <si>
    <t xml:space="preserve">    04:91:ea:c1:76:49:3a:2f:0f:fe:ef:b1:d5:ce:67:</t>
  </si>
  <si>
    <t xml:space="preserve">    15:39:9b:19:81:7a:07:d6:a9:9e:11:96:fe:71:05:</t>
  </si>
  <si>
    <t xml:space="preserve">    30:83:a6:d4:8a:16:c4:15:0a:c8:45:26:88:7f:f5:</t>
  </si>
  <si>
    <t xml:space="preserve">    50:35:40:ea:35:91:85:cd:d4:ce:78:da:04:cd:59:</t>
  </si>
  <si>
    <t xml:space="preserve">    5b:ca:b2:cf:73</t>
  </si>
  <si>
    <t>Bob Private-Key: (256 bit)</t>
  </si>
  <si>
    <t>Bob Public-Key: (256 bit)</t>
  </si>
  <si>
    <t>EC_CreatePrivatePEM</t>
  </si>
  <si>
    <t>Test</t>
  </si>
  <si>
    <t>DES_Encrypt</t>
  </si>
  <si>
    <t>DES_Decrypt</t>
  </si>
  <si>
    <t>RSA_Encrypt_OAEP</t>
  </si>
  <si>
    <t>RSA_Decrypt_OAEP</t>
  </si>
  <si>
    <t>MIIEvgIBADANBgkqhkiG9w0BAQEFAASCBKgwggSkAgEAAoIBAQD0BSXsTtCGKOwi</t>
  </si>
  <si>
    <t>PiAjk+aBXaiyWMpRHGPIGMHVT7rv10FNIVyG+xW3a9ZRgwnmkMheQzQ38zRUspog</t>
  </si>
  <si>
    <t>PLs/Us9Q2TbzxPfz0IWVGW9IgjKtzfrZ+n4AYX+RkYqzJRCBdrg+SpWg+NdAZBs8</t>
  </si>
  <si>
    <t>qYbgT7oD3vPQCUST0xXrr2tIRBesWrFrxipXLecjkf6xUML+EOEi/0nirAQhBePB</t>
  </si>
  <si>
    <t>mJz9w34ZT+TqrkcyWhYAuzboujhwGCUndx5qSa+8Im2z3iuPddnIhQX2/02jGW9v</t>
  </si>
  <si>
    <t>ZMn1+83jBNVOqWe3XWDe4YU9Zg9cFvyvqxluYmBxy1OjCLLhAZ9ZUZ91ltWq8rgL</t>
  </si>
  <si>
    <t>KleeEgOBAgMBAAECggEBAN7qeQtXsHxuk9BwSnHV4aPaSIqsPB4+vhSEMUZJcK87</t>
  </si>
  <si>
    <t>SAdK67jPVLZbx8xs1bWQG8qov+JAxVR+V/gNIs0lPAhSdjXYgN51ZiKfup5VejB2</t>
  </si>
  <si>
    <t>U6uffk2gw6XafAdNW7e5GXSmM+x6hkDnck5HW9Q8YOS6XqZ0YPZdxc+pT2sT8UBb</t>
  </si>
  <si>
    <t>TMCtIJ1XPZGj9uZR41Vt5ZMwHt5/QiTkkb2oTSzyq19JwGwUiIerqY1mAX7Zu8v4</t>
  </si>
  <si>
    <t>JigqWd4bbx11R/k8tAC/Tn9FQ4iGbm6dBb38208KHaBMMHOSURvH5FO3E9/W+0yT</t>
  </si>
  <si>
    <t>3VsJlfO+ptgB6vx0lwHmLIdefuFK1Fz9juCkSOERh4UCgYEA++FwSVUyiocgJl2a</t>
  </si>
  <si>
    <t>4Ounp426SgatBTMrEqWSZ0X2eQYdFLv49keC+76PIc4GjI5/eDrvPPW9FbbhPcxU</t>
  </si>
  <si>
    <t>ApcFJQtAydFswAE8JoBf4+o3vJ4P5ZFz0tc8tqVgJ0mHuhEAE6nZM6nuAJfDovs/</t>
  </si>
  <si>
    <t>QoIPNGcO/N0SnxheS8gGiLpypuMCgYEA+ALMrYkWStuPfP2IZ67M8hELQ74W09ft</t>
  </si>
  <si>
    <t>uy1IMqR4Pyf3bNAqgYEzZi28G3I8IyPlYu0nJQBWyYXp4Ltnd8IXR+q3mjLG5EbX</t>
  </si>
  <si>
    <t>7PCQgkL4twxX4l56z7eXUbwECOudza1w7c7ZDjvsa7GB48K29MITpQ4MyDeJt8XT</t>
  </si>
  <si>
    <t>VqOzpShG1Yk10K63ubetRJO/27zqHSgA568a14LEF2hJiv26l4jv0sJAYPz6Q87j</t>
  </si>
  <si>
    <t>8pYWrBHFHZAGS8nVoAHAOkAMXuMlNA0wHsf0qvfdt5WFHv8Ru6cYD3aI8wKBgGqz</t>
  </si>
  <si>
    <t>qaOvqyuhsuYvnhQdnIc41gPbMK8L43f4T2uaXzGs3EKwfNki4R5A5wFX8I+dzf71</t>
  </si>
  <si>
    <t>0TWWI8CoIKtTdXyMwL9sOHnbBr8Hy7Zg+YtRjPgUE2uNAoGDl1LO9V1xIX9v83oc</t>
  </si>
  <si>
    <t>2D3LgjgDMsLu7w/2v8TveohZfKLYNg4zx/hofcppAoGBAPDRwd2CaDa3TeL5x4Q7</t>
  </si>
  <si>
    <t>AR7dg+wgxXbgvE5GjqU+xHtoKkyWUFhKW/YdcWW97/jUghnEXQCzO7UB4ZRdMUrW</t>
  </si>
  <si>
    <t>5CO8nmZzHxJmn5Tn0QxoLf6NAK9c3w6jnK9cFJ1c6Ff52QQC/RdzAFmTN6ja5zI8</t>
  </si>
  <si>
    <t>MaF132r2WYPoWWpGPVaIWLZg</t>
  </si>
  <si>
    <t>RSA_AlicePublic</t>
  </si>
  <si>
    <t>RSA_AlicePrivate</t>
  </si>
  <si>
    <t>RSA_BobPublic</t>
  </si>
  <si>
    <t>RSA_BobPrivate</t>
  </si>
  <si>
    <t>AlicePrivate.pem</t>
  </si>
  <si>
    <t>AlicePublic.pem</t>
  </si>
  <si>
    <t>BobPrivate.pem</t>
  </si>
  <si>
    <t>BobPublic.pem</t>
  </si>
  <si>
    <t>MIIBIjANBgkqhkiG9w0BAQEFAAOCAQ8AMIIBCgKCAQEA9AUl7E7QhijsIj4gI5Pm</t>
  </si>
  <si>
    <t>gV2osljKURxjyBjB1U+679dBTSFchvsVt2vWUYMJ5pDIXkM0N/M0VLKaIDy7P1LP</t>
  </si>
  <si>
    <t>UNk288T389CFlRlvSIIyrc362fp+AGF/kZGKsyUQgXa4PkqVoPjXQGQbPKmG4E+6</t>
  </si>
  <si>
    <t>A97z0AlEk9MV669rSEQXrFqxa8YqVy3nI5H+sVDC/hDhIv9J4qwEIQXjwZic/cN+</t>
  </si>
  <si>
    <t>GU/k6q5HMloWALs26Lo4cBglJ3ceakmvvCJts94rj3XZyIUF9v9Noxlvb2TJ9fvN</t>
  </si>
  <si>
    <t>4wTVTqlnt11g3uGFPWYPXBb8r6sZbmJgcctTowiy4QGfWVGfdZbVqvK4CypXnhID</t>
  </si>
  <si>
    <t>gQIDAQAB</t>
  </si>
  <si>
    <t>+Bl6ZAWTlUsCgYBrxVyu89YpMYHPCJQBErNsXJbNn6eeJvOSCefnaib4R2Zf/cGb</t>
  </si>
  <si>
    <t xml:space="preserve">Alice have sent the Public Key to Bob and Bob has his private key in the Excel and uses Excel for Crypto </t>
  </si>
  <si>
    <t>Bob wants to send a message to Alice Inviting for dinner so first step is to generate an ephemeral AES 256 bits key</t>
  </si>
  <si>
    <t>AES_Key</t>
  </si>
  <si>
    <t>Then generate an Initialization Vector (IV)</t>
  </si>
  <si>
    <t>Bob's Message in Ascii</t>
  </si>
  <si>
    <t>Bob's message in Hex</t>
  </si>
  <si>
    <t>Hi Alice what about dinner tonight ?</t>
  </si>
  <si>
    <t>Bob converts the message to hex string notation</t>
  </si>
  <si>
    <t>Now Bob can encrypt the message</t>
  </si>
  <si>
    <t>Padding</t>
  </si>
  <si>
    <t>PKCS1</t>
  </si>
  <si>
    <t>Alice and Bob have also agreed that the message should be hashed using SHA 256 and signed using RSA</t>
  </si>
  <si>
    <t>Hash Algorithm</t>
  </si>
  <si>
    <t>And BOB signs the Hash with private key</t>
  </si>
  <si>
    <t>RSA_SignHash</t>
  </si>
  <si>
    <t>Then Wrap the key (i.e. encrypt the AES key with Alice's publicKey</t>
  </si>
  <si>
    <t>EncryptedKey</t>
  </si>
  <si>
    <t>So Now Bob has the three informations he needs to pass to Alice -  1:  IvBase64, EncryptedBase64 and EncryptedKeyBase64</t>
  </si>
  <si>
    <t>BobEncryptedKeyBase64</t>
  </si>
  <si>
    <t>BobSignatureBase64</t>
  </si>
  <si>
    <t>Alice receives them and stores them in filesBobIv.base64, BobEncrypted.base64, BobEncryptedKey.base64, BobSignature.base64 and runs the followin script on her Unix (or WSL) box where she have installed openssl and have Bob's public key</t>
  </si>
  <si>
    <t>and calculate the hash of the plain data</t>
  </si>
  <si>
    <t>echo "Good idea I will come to you at 7 PM"&gt;AliceReply.plain</t>
  </si>
  <si>
    <t>Bob Receives</t>
  </si>
  <si>
    <t>AliceEncryptedKey.base64</t>
  </si>
  <si>
    <t>AliceIv.base64</t>
  </si>
  <si>
    <t>AliceReplyEncrypted.base64</t>
  </si>
  <si>
    <t>YWzRDHyEO1/z72B4jsSBETCyXfDQC0iJEqHQfF6mJzGJ30keU7uMMdpi7Q0rBjHJ1Q6tvNIhr1Veq66fSb0QBQNzOM2+1IdIWql+F+CNZy44qzP9hzWQxwYSYssift3yTobmIZeC2KX8t5YKEq/SU4d1kgDlcPjoUXt3ou7Mmk0RI4CWxQdPKN53dqxmuxHz+6hNVSM8y5Jn4Nc1IGh4tGTePpxoNDHGwFmF2zN7IiD1MxBqN3JuCeC1CBThTRdef5prtsUEe0/xhbfjwn56nkDLQjTZSbYyv3sNCrU+DZu1nG8X9xlx5Y1cPzUYee68d0ahphzEZylhl99AfJVd7A==</t>
  </si>
  <si>
    <t>AliceReplySignature.base64</t>
  </si>
  <si>
    <t>Convert the encrypted key to hex string and decrypt using Bob's private key</t>
  </si>
  <si>
    <t>AliceEncryptedKey.hexstr</t>
  </si>
  <si>
    <t>AliceEncryptedKey.clear</t>
  </si>
  <si>
    <t>Jv.hexstr</t>
  </si>
  <si>
    <t>AliceReplyEncrypted.hexstr</t>
  </si>
  <si>
    <t>Convert Iv and reply encrypted to hex string using AES and CBC</t>
  </si>
  <si>
    <t>AliceReplyEncrypted.clear</t>
  </si>
  <si>
    <t>AliceReplyEncrypted as Ascii</t>
  </si>
  <si>
    <t>Calculate Hash</t>
  </si>
  <si>
    <t>HashAlgorithm</t>
  </si>
  <si>
    <t>AliceReplySignature.hexstr</t>
  </si>
  <si>
    <t>e9qtmg8vGof8rAjEGPjj9rQFn2YpLDo8KpXmbQ2ZyNIm3tShhYm0k0bHY2M/Gf7GRXBh2t3zLxfZZvyKexLiPfzX8sH0MwjoszIEFZvdhC5AveQfT2yRfYiVzm2ufeSVf2zGt1QU9fbXqPRZtPHFSp/P6ovtZYiGJYBg20Q44XxrEmc3FWqA2SCsqpXET/bBq5Ut8cSNKwaSRpS0th4MyJhD2BU5fDCd9e0bLOhvaeCJd2BhDx3n3x68N2dYEfLkGKiF+/yoR+GUdyUIBpeFgf/Yc/zTf47rR5JtXK/NFxjtAH4XUfVnBBkFhBz9kKZ8dvLHTJCdIVjKAirjroFrgg==</t>
  </si>
  <si>
    <t>5hrH/kuFhWYKCwzlTHZVVQ==</t>
  </si>
  <si>
    <t>c7AcwFPH8RysappvFYj9nR6aqP+cEYA5TcpPWmWodhEUze6EuOCPRZhNcp9rh8Nu</t>
  </si>
  <si>
    <t>Alice and Bob have agreed to use AES as ecnyption for the message using 256 bits key in CBC mode and with PKCS7 padding</t>
  </si>
  <si>
    <t>Alicae and Bob have agreed to exchange the AES ephemeral keys using RSA encrypt with PKCS1 padding</t>
  </si>
  <si>
    <t>Alice and Bob have agreed to use AES as ecnyption for the message using 256 bits key with GCM</t>
  </si>
  <si>
    <t>Then generate an Initialization Vector (IV) for GCM or Nonce as it is normally called here - only 12 bytes</t>
  </si>
  <si>
    <t>IV - Nonce</t>
  </si>
  <si>
    <t>GCM</t>
  </si>
  <si>
    <t>AdvancedBobIV.Base64</t>
  </si>
  <si>
    <t>AdvancedBobEncrypted,Base64</t>
  </si>
  <si>
    <t>and convert them to Base64</t>
  </si>
  <si>
    <t>OAEP</t>
  </si>
  <si>
    <t>Hashing Algorithm</t>
  </si>
  <si>
    <t>Padding String</t>
  </si>
  <si>
    <t xml:space="preserve">Alicae and Bob have agreed to exchange the AES ephemeral keys using RSA encrypt with OAEP padding - for paddind Bob uses </t>
  </si>
  <si>
    <t>and Alice</t>
  </si>
  <si>
    <t>AdvanceBobEncrypted.Base64</t>
  </si>
  <si>
    <t>AdvancedBobSignatureBase64</t>
  </si>
  <si>
    <t>AdvancedBobEncryptedKeyBase64</t>
  </si>
  <si>
    <t>AdvancedBobOAEPPad.base64</t>
  </si>
  <si>
    <t>AdvancedBobIv.base64</t>
  </si>
  <si>
    <t>String is actually in two parts one with the encrypted data and the other is the authentication tag - sometimes better to send in two different information fields - here Alice &amp; Bob have agreed that TAG will be sent in the end of the string and be 12 long</t>
  </si>
  <si>
    <t>AdvancedAliceEncryptedKey.base64</t>
  </si>
  <si>
    <t>AdvancedAliceIv.base64</t>
  </si>
  <si>
    <t>AnvancedAliceReplyEncrypted.base64</t>
  </si>
  <si>
    <t>AdvancedAliceReplySignature.base64</t>
  </si>
  <si>
    <t>Qm9i</t>
  </si>
  <si>
    <t>AdvancedAliceOAEPlabel.base64</t>
  </si>
  <si>
    <t>c4ls/85NShy8HhQgD+jsDIJi/MaARafy2XTPZQYYYhPXsEa9wnzKUwsMWxrhCl2ScipHfsmyF5HnJDN3qUDsMHsXwvrC8J8mPvHNnyFuSlsJzSDHtpGmOi/tmekaz16ATO/GsJ1DJvc2v5f//XDwf0ja1neSyAtQq+6OOH56b3r+B1RJaIlW9+TcTpWOdfdKjF1LLp9pt0ySbGiLnVPfkUM3gdIpK+n/TduO2feW3KGhT54noXBolwqx1L5wx4IXh9JqH5fr5tCAHHUkYcUnvdVD5sFAGDEvEPhbWvPVPdBHibR3akEujbx4nDYPMoCrw26/+Vo2OSzBTZ1AQrqvBQ==</t>
  </si>
  <si>
    <t>AdvancedAliceOAPElabel.hexstr</t>
  </si>
  <si>
    <t>AdvancedAliceEncryptedKey.hexstr</t>
  </si>
  <si>
    <t>label</t>
  </si>
  <si>
    <t>Hash Algo</t>
  </si>
  <si>
    <t>AdvancedAliceEncryptedKey.clear</t>
  </si>
  <si>
    <t>Now bob has the key and can decrypt the message</t>
  </si>
  <si>
    <t>AdvancedAliceIV.hexstr</t>
  </si>
  <si>
    <t>AnvancedAliceReplyEncrypted.hexstr</t>
  </si>
  <si>
    <t>AdvancedAliceReplyEncrypted.clear</t>
  </si>
  <si>
    <t>AdvancedAliceReplyEncrypted as Ascii</t>
  </si>
  <si>
    <t>Public Function RSA_getParameter(ByVal pem As String, ByVal parm As String) As String</t>
  </si>
  <si>
    <t>Public Function RSA_createPrivatePEM(ByVal modulus As String, ByVal exponent As String, ByVal prime1 As String, ByVal prime2 As String) As String</t>
  </si>
  <si>
    <t>Public Function RSA_CreatePublicPEM(ByVal modulus As String, ByVal exponent As String) As String</t>
  </si>
  <si>
    <t>Public Function EC_CreatePublicPEM(ByVal curve As String, ByVal publicKey) As String</t>
  </si>
  <si>
    <t>Public Function EC_CreatePrivatePEM(ByVal curve As String, ByVal publicKey, ByVal privateKey As String) As String</t>
  </si>
  <si>
    <t>Public Function Util_AsciiToHexStr(ByVal strAscii) As String</t>
  </si>
  <si>
    <t>Public Function Util_showFormula(ByVal cell As Range) As String</t>
  </si>
  <si>
    <t>Public Function Util_Base64ToHexStr(ByVal base64str As String) As String</t>
  </si>
  <si>
    <t>Public Function Hash_Calculate(ByVal hashFunction As String, ByVal strHex As String) As String</t>
  </si>
  <si>
    <t>Public Function Util_GenRandom(ByVal size As Long) As String</t>
  </si>
  <si>
    <t>Public Function AES_Encrypt(ByVal key As String, ByVal plain As String, Optional ByVal mode As String = "CBC", Optional ByVal iv As String = "") As String</t>
  </si>
  <si>
    <t>Public Function AES_Decrypt(ByVal key As String, ByVal cipher As String, Optional ByVal mode As String = "CBC", Optional ByVal iv As String = "", Optional ByVal GCMtagLen As Long = 12) As String</t>
  </si>
  <si>
    <t>Public Function DES_Encrypt(ByVal key As String, ByVal plain As String, Optional ByVal mode As String = "CBC", Optional ByVal iv As String = "") As String</t>
  </si>
  <si>
    <t>Public Function DES_Decrypt(ByVal key As String, ByVal cipher As String, Optional ByVal mode As String = "CBC", Optional ByVal iv As String = "") As String</t>
  </si>
  <si>
    <t>Util_HexStrToBinStr</t>
  </si>
  <si>
    <t>prime256v1</t>
  </si>
  <si>
    <t>Public Function EC_getParameter(ByVal pem As String, ByVal parm As String) As String</t>
  </si>
  <si>
    <t>Public Function ASN_getOIDFromName(ByVal Name As String) As String</t>
  </si>
  <si>
    <t>Public Function ASN_getNameFromOID(ByVal OID As String) As String</t>
  </si>
  <si>
    <t>Public Function ASN_getNameFromStrOID(ByVal strOID) As String</t>
  </si>
  <si>
    <t>Public Function ASN_getOIDFromStrOID(ByVal strOID As String) As String</t>
  </si>
  <si>
    <t>Public Function Util_strToPaddedLength(ByVal str As String, ByVal padLength As Integer)</t>
  </si>
  <si>
    <t>Public Function Util_BinStrToHexStr(ByVal binStr As String) As String</t>
  </si>
  <si>
    <t>KDF</t>
  </si>
  <si>
    <t>RAW</t>
  </si>
  <si>
    <t>Public</t>
  </si>
  <si>
    <t>Private</t>
  </si>
  <si>
    <t>HASH</t>
  </si>
  <si>
    <t>f</t>
  </si>
  <si>
    <t>Key Derivation Function - Manual</t>
  </si>
  <si>
    <t>Testvektor DataToHash</t>
  </si>
  <si>
    <t xml:space="preserve">TestVektor Hash </t>
  </si>
  <si>
    <t>4DE4852062066E36E495826C56C95F94DE0FA8AA88CADE83A30A657E79BA8DF6</t>
  </si>
  <si>
    <t>Public Function Util_XorHexStrings(ByVal hexXOr1 As String, ByVal hexXor2 As String) As String</t>
  </si>
  <si>
    <t>OAP with empty Label</t>
  </si>
  <si>
    <t>HashAlgo</t>
  </si>
  <si>
    <t>Label</t>
  </si>
  <si>
    <t>AdvancedBobOAEPlabel.base64</t>
  </si>
  <si>
    <t>AdvancedBobEncryptedKey.base64</t>
  </si>
  <si>
    <t>AdvancedAliceOAEPLabel.base64</t>
  </si>
  <si>
    <t>AdvancedAliceOAEPLabel.bin</t>
  </si>
  <si>
    <t>0LGGUE50v76TPaYzwH+CIphVRwcDFE3YOnhelUlBycz8uxQbf2tTW/wHJyjbjtMnaXkAlB7Dkv5gU2haEeHXJyMqU+SNxj4B/oa+Mbl8l59sjPzWaxPMUX9j3gOzCqxZhbCCfZ6uObo9rFaZXcdYoFIZnNZbrgZUGXG39E2ju5yXFK6pPGU9t5lFY/oXAKgxE7FP3qynusXnPXYlJuh3pQtg0pTrJbwUcWB6cBnyfEXZajehI5hbLOTODmxIvJ/HhTS34L3QlzbOXDCwro9Mkrmx6qOK/wDuFZfTnmSZTOQZdSnYlKklLqutMQdm53AVJkAJUsC8vGjS/JL6h1tOQg==</t>
  </si>
  <si>
    <t xml:space="preserve">The other way around  - It's alice encrypting i.e. use Bob's private key </t>
  </si>
  <si>
    <t>SignHash.base64</t>
  </si>
  <si>
    <t>OK</t>
  </si>
  <si>
    <t>MEYCIQDwOh0NpUfBWMdSuj7a6fiQMR1o3yCM227HGgKmeUwYcQIhAMzxXZatKbQ5HqsX+YHgyxQGW9+fAgOUtH7+sVZ2Z9Gz</t>
  </si>
  <si>
    <t>F03A1D0DA547C158C752BA3EDAE9F890311D68DF208CDB6EC71A02A6794C1871CCF15D96AD29B4391EAB17F981E0CB14065BDF9F020394B47EFEB1567667D1B3</t>
  </si>
  <si>
    <t>DER</t>
  </si>
  <si>
    <t>StrOK</t>
  </si>
  <si>
    <t>Signature.base64</t>
  </si>
  <si>
    <t>SignToOpenSsl</t>
  </si>
  <si>
    <t>Verify OK from OpenSSL  - change to be example based on signed with AlicePrivate !</t>
  </si>
  <si>
    <t>Informat</t>
  </si>
  <si>
    <t>OutFormat</t>
  </si>
  <si>
    <t>12345123451234512345</t>
  </si>
  <si>
    <t>SignHash.bin</t>
  </si>
  <si>
    <t>And we got verified Ok on the openssl side.</t>
  </si>
  <si>
    <t>Alice writes a response and runs the AdvancedAliceEncryptAndSign.sh script - producing files with the following content</t>
  </si>
  <si>
    <t>5H+mGsnukEL0vnn4TXBHuBjohsjInPDeBJJ1Scvw1qgEDllcKPFHfDAPq/fHOHl28mBD4PdlNOVUCqhmUU2e6ZbCjv2aAD7AU69M8YqxIGXI3bP7Wic7XsF2AOfnzXMHse2S4/0svqHGNilmMoaCDsedQyqk9Fqy2BcZfqJWuzQKDZoW2rzR6sYxQOpHlnA/EnukPoz5qsO7ZfrDmoRXxHjkt2MvBXCLlbuD7WZhEXlvHJmKDN4ZM0/cAT+4QwD184Ne9Pn0qQLIRAVRgfnjHCgHETcr8VUmRv4GWKcxe6rok4dkcAJn1URilaW9C1g7BaE0JO/nPQ8Dl/vP+SPvFg==</t>
  </si>
  <si>
    <t>NaMVJs3d/0wVtDHD</t>
  </si>
  <si>
    <t>/LBX2P00osTKSPYZd7uOoHwSAZdEAe1eXiAgIC+nsDFW37nc+NDYduUCDDRVPxWs/Tk1LY8D/kbIBH1onKXho004h2AQYBTkMBGo</t>
  </si>
  <si>
    <t>Public Function EC_VerifySignature(ByVal pem As String, ByVal strHash As String, ByVal strSignature As String, ByVal inFormat As String, ByVal strOK As String) As String</t>
  </si>
  <si>
    <t>Public Function DER_ToP1363(ByVal strP1363) As String</t>
  </si>
  <si>
    <t>Public Function Util_hexstrReverse(ByVal hexstr As String) As String</t>
  </si>
  <si>
    <t>Public Function Util_hexStrToAscii(ByVal hexstr As String) As String</t>
  </si>
  <si>
    <t>Public Function Util_HexStrToBase64(ByVal hexstr As String) As String</t>
  </si>
  <si>
    <t>Public Function Util_HexStrToBinStr(ByVal hexstr As String) As String</t>
  </si>
  <si>
    <t>Get Modulus and Exponen</t>
  </si>
  <si>
    <t>Test AliceAndBob  empty OAEP label</t>
  </si>
  <si>
    <t xml:space="preserve">And encrypt </t>
  </si>
  <si>
    <t>TestVektors for GetParms</t>
  </si>
  <si>
    <t>Signature and Hash</t>
  </si>
  <si>
    <t>Public Function DER_addLeadingZero(ByVal hexstr As String) As String</t>
  </si>
  <si>
    <t>Public Function DER_removeLeadingZero(ByVal str As String) As String</t>
  </si>
  <si>
    <t>Alice and Bob will try EC (Elliptic curve) crypto and have agreed to use the prime256v1 curve to exchange an ephemeral AES key</t>
  </si>
  <si>
    <t>Hi  if this EC stuff works then how about dinner tonight ?</t>
  </si>
  <si>
    <t>KDF - function (HASH or RAW)</t>
  </si>
  <si>
    <t xml:space="preserve">Create shared secret from Alice's public key and Bob's private - using HASH as KDF function with SHA256 </t>
  </si>
  <si>
    <t>The derived shared secrets - i.e the AESkey</t>
  </si>
  <si>
    <t>Bob's message</t>
  </si>
  <si>
    <t>Bob Message as hex string</t>
  </si>
  <si>
    <t>Now Bob has a key so let's generate an IV and do the encryption</t>
  </si>
  <si>
    <t>Encrypt</t>
  </si>
  <si>
    <t>Chaining mode</t>
  </si>
  <si>
    <t>Now Bob can send the following to Alice</t>
  </si>
  <si>
    <t xml:space="preserve">For KDF they will use NISTxxx (look up) where SHA256 is hash, Prepend is 00000001 and Bob chooses AliceBob in hex as append i.e. </t>
  </si>
  <si>
    <t>EC_BobAppend.base64</t>
  </si>
  <si>
    <t>EC_BobIv.base64</t>
  </si>
  <si>
    <t>EC_BobEncrypted.base64</t>
  </si>
  <si>
    <t>So Now its time to sign with ECDSA - obs we will need to use encoding DER instead of P1363 since Alice is using openssl</t>
  </si>
  <si>
    <t>EC_BobSignature.base64</t>
  </si>
  <si>
    <t>Alices stores the file and runs EC_AliceAndBobDecryptAndVeirify.sh and sends the resulting base64 files to Bob</t>
  </si>
  <si>
    <t>Qm9iQWxpY2UK</t>
  </si>
  <si>
    <t>EC_AliceAppend.base64</t>
  </si>
  <si>
    <t>nNrhhUJ4uPr3c55uqD0Raw==</t>
  </si>
  <si>
    <t>EC_AliceIv.base64</t>
  </si>
  <si>
    <t>xgCekRpyId1dYpdhp2iDXT51i3oV6VR4/3vIApsTqUwWBCpcm6k6ZVffxrTmLYLC/my1G183hnMvjVLm/AYgKw==</t>
  </si>
  <si>
    <t>EC_AliceReplyEncrypted.base64</t>
  </si>
  <si>
    <t>EC_AliceReplySignature.base64</t>
  </si>
  <si>
    <t>MEYCIQDQu/zSgonS4VcHYijDMQ90xg+3VpX12AHsbgbPuoZMngIhAPAXxO4lFmVHfUPva26tQfcrM3UUyIovOhBrzE7L+jxB</t>
  </si>
  <si>
    <t>Now Bob Can start to derive the key - only thing changed is the Append srting now (BobAlice instead of AliceBob) not could have been anything probably should be a random thing</t>
  </si>
  <si>
    <t>Shared Secret i.e AESkey</t>
  </si>
  <si>
    <t xml:space="preserve">Decrypt the message </t>
  </si>
  <si>
    <t>AliceReplyDecrypted.hexstr</t>
  </si>
  <si>
    <t>Alice wrote</t>
  </si>
  <si>
    <t>Verify signatue</t>
  </si>
  <si>
    <t>OK message</t>
  </si>
  <si>
    <t>EC_VerifySignature found the mssage a being OK</t>
  </si>
  <si>
    <t>Signature result</t>
  </si>
  <si>
    <t>RSA_VerifySignature</t>
  </si>
  <si>
    <t>RSA_getParameter</t>
  </si>
  <si>
    <t>RSA_createPrivatePEM</t>
  </si>
  <si>
    <t>RSA_CreatePublicPEM</t>
  </si>
  <si>
    <t>EC_DeriveSharedSecret</t>
  </si>
  <si>
    <t>EC_getParameter</t>
  </si>
  <si>
    <t>EC_VerifySignature</t>
  </si>
  <si>
    <t>EC_SignHash</t>
  </si>
  <si>
    <t>Hash_Calculate</t>
  </si>
  <si>
    <t>AES_Encrypt</t>
  </si>
  <si>
    <t>AES_Decrypt</t>
  </si>
  <si>
    <t>GCM_getEncrypted</t>
  </si>
  <si>
    <t>GCM_getTag</t>
  </si>
  <si>
    <t>DER_ToP1363</t>
  </si>
  <si>
    <t>DER_P1363ToDER</t>
  </si>
  <si>
    <t>DER_addLeadingZero</t>
  </si>
  <si>
    <t>DER_removeLeadingZero</t>
  </si>
  <si>
    <t>ASN_getOIDFromName</t>
  </si>
  <si>
    <t>ASN_getNameFromOID</t>
  </si>
  <si>
    <t>ASN_getNameFromStrOID</t>
  </si>
  <si>
    <t>ASN_getOIDFromStrOID</t>
  </si>
  <si>
    <t>Util_hexstrReverse</t>
  </si>
  <si>
    <t>Util_hexStrToAscii</t>
  </si>
  <si>
    <t>Util_AsciiToHexStr</t>
  </si>
  <si>
    <t>Util_showFormula</t>
  </si>
  <si>
    <t>Util_HexOverUnderToHexStr</t>
  </si>
  <si>
    <t>Util_HexStrToBase64</t>
  </si>
  <si>
    <t>Util_Base64ToHexStr</t>
  </si>
  <si>
    <t>Util_GenRandom</t>
  </si>
  <si>
    <t>Util_strToPaddedLength</t>
  </si>
  <si>
    <t>Util_BinStrToHexStr</t>
  </si>
  <si>
    <t>Util_XorHexStrings</t>
  </si>
  <si>
    <t>Public Function RSA_Encrypt(ByVal pem As String, ByVal plain As String, Optional ByVal strPadding As String = "PKCS1", Optional ByVal hashAlgorithm As String = "SHA256", Optional ByVal strOAEPlabel As String = "") As String</t>
  </si>
  <si>
    <t>------------------------------------------------------------------------------------------------------_x000D_
' RSA_Encrypt (pem, plain, strPadding, hashAlgorithm, strOAEPlabel)_x000D_
' pem           :  The public key in PEM format_x000D_
' plain         :  Hex string with the plain text to be encrypted_x000D_
' strPadding    :  What padding scheme PKCS1 or OAEP -  PKCS1 is default_x000D_
' hashAlgoritm  :  For OAEP what padding scheme to use SHA256 is default_x000D_
' strOAEPlabel  :  OAEP label - obs can be blank default is blank empty string_x000D_
'------------------------------------------------------------------------------------------------------</t>
  </si>
  <si>
    <t>------------------------------------------------------------------------------------------------------_x000D_
' RSA_Decrypt (pem, plain, strPadding, hashAlgorithm, strOAEPlabel)_x000D_
' pem           :  The public key in PEM format_x000D_
' cipher        :  Hex string with the cipher text to be decrypted_x000D_
' strPadding    :  What padding scheme PKCS1 or OAEP -  PKCS1 is default_x000D_
' hashAlgoritm  :  For OAEP what padding scheme to use SHA256 is defaullt_x000D_
' strOAEPlabel  :  OAEP label - obs can be blank default is blank empty string_x000D_
'------------------------------------------------------------------------------------------------------</t>
  </si>
  <si>
    <t>Public Function RSA_Decrypt(ByVal pem As String, ByVal cipher As String, Optional ByVal strPadding As String = "PKCS1", Optional ByVal hashAlgorithm As String = "SHA256", Optional ByVal strOAEPlabel As String = "") As String</t>
  </si>
  <si>
    <t>------------------------------------------------------------------------------------------------------_x000D_
' RSA_VerifySignature(pen, strHash, strSignature, algorithm, strOK_x000D_
' pem           :  The public key in PEM format_x000D_
' strHash       :  Hex string with the calculated hash to be verified_x000D_
' algorithm     :  Algorithm used for padding SHA256 is default_x000D_
' strOK         :  the Message to display if verification is successfull default is OK_x000D_
'------------------------------------------------------------------------------------------------------</t>
  </si>
  <si>
    <t>Public Function RSA_VerifySignature(ByVal pem As String, ByVal strHash As String, ByVal strSignature As String, Optional ByVal algorithm As String = "SHA256", Optional ByVal strOK As String = "OK") As String</t>
  </si>
  <si>
    <t>------------------------------------------------------------------------------------------------------_x000D_
' RSA_SignHash(pen, strHash, strSignature, algorithm, strOK_x000D_
' pem           :  The public key in PEM format_x000D_
' strHash       :  Hex string with the calculated hash to be signed_x000D_
' algorithm     :  Algorithm used for padding SHA256 is default_x000D_
'------------------------------------------------------------------------------------------------------</t>
  </si>
  <si>
    <t>Public Function RSA_SignHash(ByVal pem As String, ByVal strHash As String, Optional ByVal algorithm As String = "SHA256") As String</t>
  </si>
  <si>
    <t>------------------------------------------------------------------------------------------------------_x000D_
' RSA_createPrivatePEM(modulus, exponent, prime1, prime2) Creates a Private RSA PEM from parameters_x000D_
' Modulus       : The modulus for the key also known as (n)_x000D_
' Exponent      : The public exponent also known as (e)_x000D_
' Prime1        : The prime1 also known as (p)_x000D_
' prime2        : The prime2 also known as (q)_x000D_
'-------------------------------------------------------------------------------------------------------</t>
  </si>
  <si>
    <t>------------------------------------------------------------------------------------------------------_x000D_
' RSA_createPublicPEM(modulus, exponent Creates a Public RSA PEM from parameters_x000D_
' Modulus       : The modulus for the key also known as (n)_x000D_
' Exponent      : The public exponent also known as (e)_x000D_
'-------------------------------------------------------------------------------------------------------</t>
  </si>
  <si>
    <t>------------------------------------------------------------------------------------------------------_x000D_
' RSA_getParameter(pem, parm) Retrieve a RSA key parameter from a pem_x000D_
' pem           : The private or public key in PEM format_x000D_
' parm          : The parameter to retrieve may be for Private keys_x000D_
'                    Modulus, exponent,prime1,prime2,exponent1,exponent2,coefficient,privateexponent_x000D_
'                 and for public keys_x000D_
'                    Modulus, exponent_x000D_
'-------------------------------------------------------------------------------------------------------</t>
  </si>
  <si>
    <t>------------------------------------------------------------------------------------------------------_x000D_
' EC_DeriveSharedSecret (publicPeM, privatePEM, KDF, hashAlgorithm, prepend, append)_x000D_
'                        derives a shared secret between Elliptic curves publicPEM &amp; privatePEM keys -_x000D_
'                        then derives a key given the chosed Key Derivation Function (KDF)_x000D_
' publicPEM     : The pem for the public elliptic curve key_x000D_
' privatePEM    : The pem for the private elliptic curve key_x000D_
' KDF           : The key derivation function can be RAW or HASH_x000D_
' hashAlgorithm : Hash algorithm to be used in KDF defaults to SHA256_x000D_
' prepend       : String to apply before the derived secret between the keys before hashing_x000D_
' append        : String to append to prepend, derived secret before hashing_x000D_
'-------------------------------------------------------------------------------------------------------</t>
  </si>
  <si>
    <t>Public Function EC_DeriveSharedSecret(ByVal publicPEM As String, ByVal privatePEM As String, Optional ByVal KDF As String = "RAW", Optional ByVal hashAlgorithm As String = "SHA256", _</t>
  </si>
  <si>
    <t>------------------------------------------------------------------------------------------------------_x000D_
' EC_getParameter(pem, parm) Retrieve a EC key parameter from a pem_x000D_
' pem           : The elliptic curve private or public key in PEM format_x000D_
' parm          : The parameter to retrieve may be for Private keys priv, pub and curve_x000D_
'                 and for public keys pub, exponent_x000D_
'-------------------------------------------------------------------------------------------------------</t>
  </si>
  <si>
    <t>------------------------------------------------------------------------------------------------------_x000D_
' EC_VerifySignature(pen, strHash, strSignature, inFormat, strOK_x000D_
' pem           :  The public key in PEM format_x000D_
' strHash       :  Hex string with the calculated hash to be verified_x000D_
' algorithm     :  Algorithm used for padding SHA256 is default_x000D_
' inFormat      :  Signature format default is P1363 (used in Windows), can be DER=openssl format_x000D_
' strOK         :  the Message to display if verification is successfull default is OK_x000D_
'------------------------------------------------------------------------------------------------------"</t>
  </si>
  <si>
    <t>------------------------------------------------------------------------------------------------------_x000D_
' EC_SignHash(pem, strHash, strSignature, inFormat, strOK_x000D_
' pem           :  The public key in PEM format_x000D_
' strHash       :  Hex string with the calculated hash to be verified_x000D_
' outFormat     :  Signature format default is P1363 (used in Windows), can be DER=openssl format_x000D_
'------------------------------------------------------------------------------------------------------"</t>
  </si>
  <si>
    <t>Public Function EC_SignHash(ByVal pem As String, ByVal strHash As String, ByVal outFormat As String) As String</t>
  </si>
  <si>
    <t>------------------------------------------------------------------------------------------------------_x000D_
' EC_createPublicPEM(curve, publicKey) create a PEM for an EC key from curve name and public key_x000D_
' curve         : The name of the elliptic curve_x000D_
' publicKey     : The public key also known as (pub)_x000D_
'-------------------------------------------------------------------------------------------------------</t>
  </si>
  <si>
    <t>------------------------------------------------------------------------------------------------------_x000D_
' EC_createPrivatePEM(curve, publicKey) create a private PEM for an EC key_x000D_
'                                       from curve name and public and private key_x000D_
' curve         : The name of the elliptic curve_x000D_
' publicKey     : The public key also known as (pub)_x000D_
' privateKey    : The private key also known as (priv)_x000D_
'-------------------------------------------------------------------------------------------------------</t>
  </si>
  <si>
    <t>------------------------------------------------------------------------------------------------------_x000D_
' Hash_calculate(hashFunction. strHex)  calculates a hash of the provided data_x000D_
' hashAlgoritm  : The hash algorithm to use such as SHA256, SHA1, etc_x000D_
' hestr         : A hex string for the data to be hashed_x000D_
'-------------------------------------------------------------------------------------------------------</t>
  </si>
  <si>
    <t>------------------------------------------------------------------------------------------------------_x000D_
' AES_Encrypt (key, plain, mode, iv) encrypts plain with AES algorithm_x000D_
' key           : The AES key in hex string_x000D_
' plain         : A hex string with the plain data to be encrypted_x000D_
' mode          : If ECB or CBC encryption will be done with chaining mode ECB/CBC and PKCS7 padding_x000D_
'                 if mode=GCM then encryption will be done following the GCM pattern_x000D_
'                 in that case the resulting TAG willl be appended to the resulting cipher text_x000D_
'                 at present only default taglen (12) - implemented TBD_x000D_
' IV            : IV hex string with initialization vector should be 16 for ECB &amp; CBC 12 for GCM_x000D_
'-------------------------------------------------------------------------------------------------------</t>
  </si>
  <si>
    <t>------------------------------------------------------------------------------------------------------_x000D_
' AES_Decrypt (key, cipher, mode, iv, gcmTagLen) decrypts cipher with AES algorithm_x000D_
' key           : The AES key in hex string_x000D_
' cipher        : Hes string wiht the cipher text_x000D_
' mode          : If ECB or CBC decryption will be done with chaining mode ECB/CBC and PKCS7 padding_x000D_
'                 if mode=GCM then decryption will be done following the GCM pattern_x000D_
'                 in that case the tag is expected to be at the end of the cipher text_x000D_
'                 at present only default taglen (12) - has been tested TBD_x000D_
' IV            : IV hex string with initialization vector should be 16 for ECB &amp; CBC 12 for GCM_x000D_
' GCMtagLen     : The length of the TAG expected to be a the end of the string (OBS only 12 tested)_x000D_
'-------------------------------------------------------------------------------------------------------</t>
  </si>
  <si>
    <t>------------------------------------------------------------------------------------------------------_x000D_
' DES_Encrypt (key, plain, mode, iv) encrypts plain with DES algorithm_x000D_
' key           : The DES key in hex string can be single DES, Double DES or Tripple DES_x000D_
' plain         : A hex string with the plain data to be encrypted_x000D_
' mode          : If ECB or CBC encryption will be done with chaining mode ECB/CBC and PKCS7 padding_x000D_
' IV            : IV hex string with initialization vector should be 8 bytes longor ECB &amp; CB_x000D_
'-------------------------------------------------------------------------------------------------------</t>
  </si>
  <si>
    <t>------------------------------------------------------------------------------------------------------_x000D_
' DES_Decrypt (key, cipher, mode, iv) decrypts cipher text with DES algorithm_x000D_
' key           : The DES key in hex string can be single DES, Double DES or Tripple DES_x000D_
' cipher        : A hex string with the plain data to be encrypted_x000D_
' mode          : If ECB or CBC decryption will be done with chaining mode ECB/CBC and PKCS7 padding_x000D_
' IV            : IV hex string with initialization vector should be 8 bytes slong_x000D_
'-------------------------------------------------------------------------------------------------------</t>
  </si>
  <si>
    <t>------------------------------------------------------------------------------------------------------_x000D_
' GCM_getEncrypted(cipher, tagLen) - the cipher text have been passed with the GCM tag in the end_x000D_
'                                      return the cipher text without the tag_x000D_
' cipher        : The cipher text including gcm tag_x000D_
' tagLen        : Lenght of tag defaults to 12_x000D_
'-------------------------------------------------------------------------------------------------------</t>
  </si>
  <si>
    <t>Public Function GCM_getEncrypted(ByVal cipher, Optional ByVal tagLen As Long = 12) As String</t>
  </si>
  <si>
    <t>------------------------------------------------------------------------------------------------------_x000D_
' GCM_getTag(cipher, tagLen) - the cipher text have been passed with the GCM tag in the end_x000D_
'                                      return the tag part without the cipher text_x000D_
' cipher        : The cipher text including gcm tag_x000D_
' tagLen        : Lenght of tag defaults to 12_x000D_
'-------------------------------------------------------------------------------------------------------</t>
  </si>
  <si>
    <t>Public Function GCM_getTag(ByVal cipher, Optional ByVal tagLen As Long = 12) As String</t>
  </si>
  <si>
    <t>-------------------------------------------------------------------------------------------------------_x000D_
' DER_ToP1363:  Openssl will use DER encoding a structure (30) followed by the two elements R &amp; S_x000D_
'               We don't have a DER decoder and out of scope to build it here - so a simple approach_x000D_
'               is used assuming a structure first with a length that will not exceed 127 bytes_x000D_
' strP1363   : The P1364 signature as hex string_x000D_
'-------------------------------------------------------------------------------------------------------</t>
  </si>
  <si>
    <t>-------------------------------------------------------------------------------------------------------_x000D_
' DER_P1363_ToDER: BCrypt ECDSA gives signature in P1363 format i.e. r || s format -_x000D_
'                  build the DER encoding for it, typically when sending to "openssl"_x000D_
' strDER     : The signature in DER format as hex string_x000D_
'-------------------------------------------------------------------------------------------------------</t>
  </si>
  <si>
    <t>Public Function DER_P1363ToDER(ByVal strDER) As String</t>
  </si>
  <si>
    <t>-------------------------------------------------------------------------------------------------------_x000D_
' DER_addLeadingZero(hexStr) DER we add leading zero if negative number ´first byte &gt; 7F_x000D_
' hexStr      : The hex string to possibly add a leading zero (00) to_x000D_
'-------------------------------------------------------------------------------------------------------</t>
  </si>
  <si>
    <t>-------------------------------------------------------------------------------------------------------_x000D_
' DER_removeLeadingZero(hexStr) Before using BCrypt we remove leading zero_x000D_
' hexStr     : The hex string to possibly remove a leading zero from_x000D_
'-------------------------------------------------------------------------------------------------------</t>
  </si>
  <si>
    <t>-------------------------------------------------------------------------------------------------------_x000D_
' ASN_getOIDFromName(name)  get the OID byte string for a name i.e._x000D_
'                           prime256v1 gives 06082A8648CE3D030107_x000D_
' name       : The name to search for_x000D_
'-------------------------------------------------------------------------------------------------------</t>
  </si>
  <si>
    <t>-------------------------------------------------------------------------------------------------------_x000D_
' ASN_getONameFromOID(OID)  get the Name for a OID hex string -i.e._x000D_
'                           06082A8648CE3D030107 give PRIME256V1_x000D_
' OID      : The OID hex string to search for_x000D_
'-------------------------------------------------------------------------------------------------------</t>
  </si>
  <si>
    <t>-------------------------------------------------------------------------------------------------------_x000D_
' ASN_getONameFromStrOID(strOID)   get the Name for a OID in string (dot notation) -i.e._x000D_
'                                  1.2.840.10045.3.1.7 gives PRIME256V1_x000D_
' strOID    : The String OID in dot notation to search for_x000D_
'-------------------------------------------------------------------------------------------------------</t>
  </si>
  <si>
    <t>-------------------------------------------------------------------------------------------------------_x000D_
' ASN_getOIDFromStrOID(strOID) get the OID as hex string for an OID in string (dot notation) -i.e._x000D_
'                                  1.2.840.10045.3.1.7 gives 06082A8648CE3D030107_x000D_
' strOID    : The String OID in dot notation to search for_x000D_
'-------------------------------------------------------------------------------------------------------</t>
  </si>
  <si>
    <t>-------------------------------------------------------------------------------------------------------_x000D_
' Util_GenRandom(size) generate a random hex string of size bytes (i.e. string will be 2*size)_x000D_
' size       : Number of random bytes to generate_x000D_
'-------------------------------------------------------------------------------------------------------</t>
  </si>
  <si>
    <t>-------------------------------------------------------------------------------------------------------_x000D_
' Util_HexStrToAscii(hexStr) convert a hex string to the Ascii text representation_x000D_
' hexstr       : hex string to convert to Ascii text_x000D_
'-------------------------------------------------------------------------------------------------------</t>
  </si>
  <si>
    <t>-------------------------------------------------------------------------------------------------------_x000D_
' Util_AsciiToHexStr(strAscii) converts a clear text in Ascii to a hex string_x000D_
' strAscii        : hex Ascii text to be converted to hex string_x000D_
'-------------------------------------------------------------------------------------------------------</t>
  </si>
  <si>
    <t>-------------------------------------------------------------------------------------------------------_x000D_
' Util_ShowFormula(cell) shows the formula in a given cell as a string - usefull for documentation_x000D_
' cell           : The cell which formula should be returned_x000D_
'-------------------------------------------------------------------------------------------------------</t>
  </si>
  <si>
    <t>-------------------------------------------------------------------------------------------------------_x000D_
' Util_HexStrToBase64) converts a hex string to binary and then to base64 encoding_x000D_
' hexstri        : hex string to be converted to base64_x000D_
'-------------------------------------------------------------------------------------------------------</t>
  </si>
  <si>
    <t>-------------------------------------------------------------------------------------------------------_x000D_
' Util_Base64ToHexStr) converts a base64 string string to binary and then to hex string_x000D_
' base64str      : the base64 string to be converted to hex string_x000D_
'-------------------------------------------------------------------------------------------------------</t>
  </si>
  <si>
    <t>-------------------------------------------------------------------------------------------------------_x000D_
' Util_HexStrToBinStr(hexstr) convert string to bytes and then to binary repressentation as string_x000D_
'                    i.e. OD10 becomes 0000110100010000_x000D_
' hexStr      : the base64 string to be converted to bin string_x000D_
'-------------------------------------------------------------------------------------------------------</t>
  </si>
  <si>
    <t>-------------------------------------------------------------------------------------------------------_x000D_
' Util_BinStrToHexStr(binstr) convert bin string to bytes and then to hex string_x000D_
'                    i.e.   0000110100010000 becomes OD10_x000D_
' binstr      : the bin string to be converted to hex string_x000D_
'-------------------------------------------------------------------------------------------------------</t>
  </si>
  <si>
    <t>-------------------------------------------------------------------------------------------------------_x000D_
' Util_XorStrings(hexXor1, HexXor2) converts both to bytes and perform a bitwise Xor_x000D_
'                                   Usefull since symmetric test keys some times comes in two parts_x000D_
'                                   the two parts can then be xored together to give the real key_x000D_
' hexXor1    : the first hex string to be Xored_x000D_
' hexXor2    : the second hex string to be Xored_x000D_
'-------------------------------------------------------------------------------------------------------</t>
  </si>
  <si>
    <t>-------------------------------------------------------------------------------------------------------_x000D_
' Util_HexOverUnderToHexStr(over, under) typically in mainframe systems the hex for a byte can be shown_x000D_
'                  in two rows - after copy pasting this can convert it to one hex string_x000D_
' over           : The hex values in the first line_x000D_
' under          : The hex values in the bottom line_x000D_
'-------------------------------------------------------------------------------------------------------</t>
  </si>
  <si>
    <t>Public Function Util_HexOverUnderToHexStr(ByVal over As String, ByVal under As String) As String</t>
  </si>
  <si>
    <t>-------------------------------------------------------------------------------------------------------_x000D_
' Util_HexStrReverse(hexStr) - reverses a hex string well why would you do that ?_x000D_
'                           old Wincrypt API's uses little endian instead of big endian_x000D_
'                           a reverse hexstring of bigendian gives lille endian and vise versa_x000D_
' hexStr     : the Hex strng to revers_x000D_
'-------------------------------------------------------------------------------------------------------</t>
  </si>
  <si>
    <t>-------------------------------------------------------------------------------------------------------_x000D_
' Util_strToPaddedLenght :  Left pads '0' until the needed length is reached._x000D_
' str            : str to pad_x000D_
'-------------------------------------------------------------------------------------------------------</t>
  </si>
  <si>
    <t>Welcome to CryptoExcel</t>
  </si>
  <si>
    <t xml:space="preserve">Check your tabs in the top of Excel window do you have a Developer menu (just before help probably) if not enable it see here how to do it. </t>
  </si>
  <si>
    <t xml:space="preserve">Press alt-F11 - that will bring you into the VBA Editor. </t>
  </si>
  <si>
    <t>Choose File-&gt;Import File - navigate to where you stored the "CNG_Functions.bas" file - select it and choose open</t>
  </si>
  <si>
    <t>Go back to the excel sheets, press save, and you are ready to go</t>
  </si>
  <si>
    <t>Do File-&gt;save a copy,  change the type from Excel Workbook (.xlsx) to Excel Macro Enabled workbook  (.xlsm) and give it a different name like ExcelExampleWithMacro.xlsm - press save.</t>
  </si>
  <si>
    <t>Getting started</t>
  </si>
  <si>
    <t>Look into the function documenttion</t>
  </si>
  <si>
    <t>Look in sheet functions where all the  available function are described</t>
  </si>
  <si>
    <t>Plain as Ascii</t>
  </si>
  <si>
    <t xml:space="preserve">Hello world </t>
  </si>
  <si>
    <t xml:space="preserve">IV </t>
  </si>
  <si>
    <t>Plain as hex string</t>
  </si>
  <si>
    <t>Try it out</t>
  </si>
  <si>
    <t>Perhaps start by a simple AES encryption of Hello world - here are a little start of input values</t>
  </si>
  <si>
    <t>Try to AES_Encrypt plain as hex with the given IV and mode</t>
  </si>
  <si>
    <t>3F933A37BB2B6603550608AEC732B648</t>
  </si>
  <si>
    <t>Expected Result:</t>
  </si>
  <si>
    <t xml:space="preserve">Write your formula here </t>
  </si>
  <si>
    <t>Alice And Bob</t>
  </si>
  <si>
    <t>Read the Alice &amp; Bob stories - they give examples of common pattern for secure exchange for both RSA (including OAEP) , Elliptic Curve.combined with AES (including GCM examples)</t>
  </si>
  <si>
    <t>Bob is doing the crypto in Excel and Alice using openssl -  the scripts are provided in the RSA &amp; EC sub directories.</t>
  </si>
  <si>
    <t>Alice &amp; Bob's keys are includign in the Keys worksheet as well as in the openssl directories.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</si>
</sst>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kr&quot;* #,##0.00_);_(&quot;kr&quot;* \(#,##0.00\);_(&quot;kr&quot;* &quot;-&quot;??_);_(@_)"/>
  </numFmts>
  <fonts count="12">
    <font>
      <sz val="11"/>
      <color theme="1"/>
      <name val="Calibri"/>
      <family val="2"/>
      <scheme val="minor"/>
    </font>
    <font>
      <sz val="8"/>
      <color theme="1"/>
      <name val="Inherit"/>
    </font>
    <font>
      <sz val="11"/>
      <color theme="1"/>
      <name val="Courier New"/>
      <family val="3"/>
    </font>
    <font>
      <sz val="10"/>
      <name val="Arial"/>
      <family val="2"/>
    </font>
    <font>
      <sz val="10"/>
      <name val="Courier New"/>
      <family val="3"/>
    </font>
    <font>
      <sz val="10"/>
      <color theme="1"/>
      <name val="Courier New"/>
      <family val="3"/>
    </font>
    <font>
      <sz val="10"/>
      <color theme="1"/>
      <name val="Inherit"/>
    </font>
    <font>
      <sz val="11"/>
      <color theme="1"/>
      <name val="Calibri"/>
      <family val="2"/>
      <scheme val="minor"/>
    </font>
    <font>
      <sz val="8"/>
      <color rgb="FF008000"/>
      <name val="Consolas"/>
      <family val="3"/>
    </font>
    <font>
      <sz val="9"/>
      <color theme="1"/>
      <name val="Courier New"/>
      <family val="3"/>
    </font>
    <font>
      <sz val="11"/>
      <color theme="1"/>
      <name val="Calibri Light"/>
      <family val="2"/>
      <scheme val="maj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164" fontId="7" fillId="0" borderId="0" applyFont="0" applyFill="0" applyBorder="0" applyAlignment="0" applyProtection="0"/>
  </cellStyleXfs>
  <cellXfs count="21">
    <xf numFmtId="0" fontId="0" fillId="0" borderId="0" xfId="0"/>
    <xf numFmtId="0" fontId="0" fillId="0" borderId="0" xfId="0" applyAlignment="1">
      <alignment horizontal="left" vertical="center" indent="1"/>
    </xf>
    <xf numFmtId="0" fontId="1" fillId="0" borderId="0" xfId="0" applyFont="1" applyAlignment="1">
      <alignment horizontal="left" vertical="center" indent="1"/>
    </xf>
    <xf numFmtId="0" fontId="2" fillId="0" borderId="0" xfId="0" applyFont="1"/>
    <xf numFmtId="0" fontId="3" fillId="0" borderId="0" xfId="0" applyFont="1"/>
    <xf numFmtId="0" fontId="4" fillId="0" borderId="0" xfId="0" applyFont="1"/>
    <xf numFmtId="0" fontId="5" fillId="0" borderId="0" xfId="0" applyFont="1"/>
    <xf numFmtId="0" fontId="5" fillId="0" borderId="0" xfId="0" quotePrefix="1" applyFont="1"/>
    <xf numFmtId="0" fontId="0" fillId="0" borderId="0" xfId="0" quotePrefix="1"/>
    <xf numFmtId="0" fontId="0" fillId="0" borderId="0" xfId="0" applyAlignment="1">
      <alignment horizontal="left" vertical="center"/>
    </xf>
    <xf numFmtId="0" fontId="6" fillId="0" borderId="0" xfId="0" applyFont="1" applyAlignment="1">
      <alignment horizontal="left" vertical="center"/>
    </xf>
    <xf numFmtId="164" fontId="0" fillId="0" borderId="0" xfId="1" applyFont="1"/>
    <xf numFmtId="49" fontId="2" fillId="0" borderId="0" xfId="0" applyNumberFormat="1" applyFont="1"/>
    <xf numFmtId="0" fontId="8" fillId="0" borderId="0" xfId="0" applyFont="1" applyAlignment="1">
      <alignment vertical="center"/>
    </xf>
    <xf numFmtId="0" fontId="0" fillId="0" borderId="0" xfId="0" applyAlignment="1">
      <alignment wrapText="1"/>
    </xf>
    <xf numFmtId="0" fontId="9" fillId="0" borderId="0" xfId="0" quotePrefix="1" applyFont="1" applyAlignment="1">
      <alignment wrapText="1"/>
    </xf>
    <xf numFmtId="0" fontId="9" fillId="0" borderId="0" xfId="0" applyFont="1"/>
    <xf numFmtId="0" fontId="10" fillId="0" borderId="0" xfId="0" quotePrefix="1" applyFont="1" applyAlignment="1">
      <alignment wrapText="1"/>
    </xf>
    <xf numFmtId="0" fontId="10" fillId="0" borderId="0" xfId="0" applyFont="1"/>
    <xf numFmtId="0" fontId="0" fillId="0" borderId="0" xfId="0" quotePrefix="1" applyAlignment="1">
      <alignment wrapText="1"/>
    </xf>
    <xf numFmtId="0" fontId="11" fillId="0" borderId="0" xfId="0" applyFon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05CEC-E12C-4D5E-9495-982AA8BCDBC4}">
  <sheetPr codeName="Sheet14"/>
  <dimension ref="A1:C28"/>
  <sheetViews>
    <sheetView tabSelected="1" workbookViewId="0">
      <selection activeCell="A10" sqref="A10"/>
    </sheetView>
  </sheetViews>
  <sheetFormatPr defaultRowHeight="14.4"/>
  <cols>
    <col min="1" max="1" width="18.5546875" customWidth="1"/>
    <col min="2" max="2" width="21.5546875" bestFit="1" customWidth="1"/>
  </cols>
  <sheetData>
    <row r="1" spans="1:3">
      <c r="A1" s="20" t="s">
        <v>548</v>
      </c>
    </row>
    <row r="3" spans="1:3">
      <c r="A3" s="20" t="s">
        <v>554</v>
      </c>
    </row>
    <row r="4" spans="1:3">
      <c r="A4" t="s">
        <v>553</v>
      </c>
    </row>
    <row r="5" spans="1:3">
      <c r="A5" t="s">
        <v>549</v>
      </c>
    </row>
    <row r="6" spans="1:3">
      <c r="A6" t="s">
        <v>550</v>
      </c>
    </row>
    <row r="7" spans="1:3">
      <c r="A7" t="s">
        <v>551</v>
      </c>
    </row>
    <row r="8" spans="1:3">
      <c r="A8" t="s">
        <v>552</v>
      </c>
    </row>
    <row r="10" spans="1:3">
      <c r="A10" s="20" t="s">
        <v>555</v>
      </c>
    </row>
    <row r="11" spans="1:3">
      <c r="A11" t="s">
        <v>556</v>
      </c>
    </row>
    <row r="13" spans="1:3">
      <c r="A13" s="20" t="s">
        <v>561</v>
      </c>
    </row>
    <row r="14" spans="1:3">
      <c r="A14" t="s">
        <v>562</v>
      </c>
    </row>
    <row r="15" spans="1:3">
      <c r="A15" t="s">
        <v>563</v>
      </c>
    </row>
    <row r="16" spans="1:3">
      <c r="A16" t="s">
        <v>557</v>
      </c>
      <c r="C16" t="s">
        <v>558</v>
      </c>
    </row>
    <row r="17" spans="1:3">
      <c r="A17" t="s">
        <v>1</v>
      </c>
      <c r="C17">
        <f>F17</f>
        <v>0</v>
      </c>
    </row>
    <row r="18" spans="1:3">
      <c r="A18" t="s">
        <v>560</v>
      </c>
      <c r="B18" t="str" cm="1">
        <f t="array" ref="B18">Util_showFormula(C18)</f>
        <v>=Util_AsciiToHexStr(C16)</v>
      </c>
      <c r="C18" t="str" cm="1">
        <f t="array" ref="C18">Util_AsciiToHexStr(C16)</f>
        <v>48656C6C6F20776F726C6420</v>
      </c>
    </row>
    <row r="19" spans="1:3">
      <c r="A19" t="s">
        <v>3</v>
      </c>
      <c r="C19" t="s">
        <v>4</v>
      </c>
    </row>
    <row r="20" spans="1:3">
      <c r="A20" t="s">
        <v>559</v>
      </c>
      <c r="C20" t="str">
        <f>"01020304050607080102030405060708"</f>
        <v>01020304050607080102030405060708</v>
      </c>
    </row>
    <row r="21" spans="1:3">
      <c r="A21" t="s">
        <v>439</v>
      </c>
      <c r="C21" t="s">
        <v>566</v>
      </c>
    </row>
    <row r="23" spans="1:3">
      <c r="A23" t="s">
        <v>565</v>
      </c>
      <c r="C23" t="s">
        <v>564</v>
      </c>
    </row>
    <row r="25" spans="1:3">
      <c r="A25" s="20" t="s">
        <v>567</v>
      </c>
    </row>
    <row r="26" spans="1:3">
      <c r="A26" t="s">
        <v>568</v>
      </c>
    </row>
    <row r="27" spans="1:3">
      <c r="A27" t="s">
        <v>569</v>
      </c>
    </row>
    <row r="28" spans="1:3">
      <c r="A28" t="s">
        <v>570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5F2F7-3D3C-44A6-A306-FA4A37C4B430}">
  <sheetPr codeName="Sheet2"/>
  <dimension ref="A1:C71"/>
  <sheetViews>
    <sheetView workbookViewId="0"/>
  </sheetViews>
  <sheetFormatPr defaultRowHeight="14.4"/>
  <cols>
    <col min="1" max="1" width="31.6640625" bestFit="1" customWidth="1"/>
    <col min="2" max="2" width="105.5546875" style="16" bestFit="1" customWidth="1"/>
    <col min="3" max="3" width="74.6640625" style="18" customWidth="1"/>
  </cols>
  <sheetData>
    <row r="1" spans="1:3" ht="108.6">
      <c r="A1" t="s">
        <v>96</v>
      </c>
      <c r="B1" s="15" t="s">
        <v>499</v>
      </c>
      <c r="C1" s="19" t="s">
        <v>498</v>
      </c>
    </row>
    <row r="2" spans="1:3" ht="108.6">
      <c r="A2" t="s">
        <v>97</v>
      </c>
      <c r="B2" s="15" t="s">
        <v>500</v>
      </c>
      <c r="C2" s="18" t="s">
        <v>501</v>
      </c>
    </row>
    <row r="3" spans="1:3" ht="96.6">
      <c r="A3" t="s">
        <v>466</v>
      </c>
      <c r="B3" s="15" t="s">
        <v>502</v>
      </c>
      <c r="C3" s="18" t="s">
        <v>503</v>
      </c>
    </row>
    <row r="4" spans="1:3" ht="84.6">
      <c r="A4" t="s">
        <v>291</v>
      </c>
      <c r="B4" s="15" t="s">
        <v>504</v>
      </c>
      <c r="C4" s="18" t="s">
        <v>505</v>
      </c>
    </row>
    <row r="5" spans="1:3" ht="120.6">
      <c r="A5" t="s">
        <v>467</v>
      </c>
      <c r="B5" s="15" t="s">
        <v>508</v>
      </c>
      <c r="C5" s="18" t="s">
        <v>357</v>
      </c>
    </row>
    <row r="6" spans="1:3" ht="108.6">
      <c r="A6" t="s">
        <v>468</v>
      </c>
      <c r="B6" s="15" t="s">
        <v>506</v>
      </c>
      <c r="C6" s="18" t="s">
        <v>358</v>
      </c>
    </row>
    <row r="7" spans="1:3" ht="84.6">
      <c r="A7" t="s">
        <v>469</v>
      </c>
      <c r="B7" s="15" t="s">
        <v>507</v>
      </c>
      <c r="C7" s="18" t="s">
        <v>359</v>
      </c>
    </row>
    <row r="8" spans="1:3" ht="168.6">
      <c r="A8" t="s">
        <v>470</v>
      </c>
      <c r="B8" s="15" t="s">
        <v>509</v>
      </c>
      <c r="C8" s="18" t="s">
        <v>510</v>
      </c>
    </row>
    <row r="9" spans="1:3" ht="96.6">
      <c r="A9" t="s">
        <v>471</v>
      </c>
      <c r="B9" s="15" t="s">
        <v>511</v>
      </c>
      <c r="C9" s="18" t="s">
        <v>373</v>
      </c>
    </row>
    <row r="10" spans="1:3" ht="120.6">
      <c r="A10" t="s">
        <v>472</v>
      </c>
      <c r="B10" s="15" t="s">
        <v>512</v>
      </c>
      <c r="C10" s="17" t="s">
        <v>418</v>
      </c>
    </row>
    <row r="11" spans="1:3" ht="96.6">
      <c r="A11" t="s">
        <v>473</v>
      </c>
      <c r="B11" s="15" t="s">
        <v>513</v>
      </c>
      <c r="C11" s="18" t="s">
        <v>514</v>
      </c>
    </row>
    <row r="12" spans="1:3" ht="84.6">
      <c r="A12" t="s">
        <v>219</v>
      </c>
      <c r="B12" s="15" t="s">
        <v>515</v>
      </c>
      <c r="C12" s="18" t="s">
        <v>360</v>
      </c>
    </row>
    <row r="13" spans="1:3" ht="108.6">
      <c r="A13" t="s">
        <v>230</v>
      </c>
      <c r="B13" s="15" t="s">
        <v>516</v>
      </c>
      <c r="C13" s="18" t="s">
        <v>361</v>
      </c>
    </row>
    <row r="14" spans="1:3" ht="84.6">
      <c r="A14" t="s">
        <v>474</v>
      </c>
      <c r="B14" s="15" t="s">
        <v>517</v>
      </c>
      <c r="C14" s="18" t="s">
        <v>365</v>
      </c>
    </row>
    <row r="15" spans="1:3" ht="144.6">
      <c r="A15" t="s">
        <v>475</v>
      </c>
      <c r="B15" s="15" t="s">
        <v>518</v>
      </c>
      <c r="C15" s="18" t="s">
        <v>367</v>
      </c>
    </row>
    <row r="16" spans="1:3" ht="156.6">
      <c r="A16" t="s">
        <v>476</v>
      </c>
      <c r="B16" s="15" t="s">
        <v>519</v>
      </c>
      <c r="C16" s="18" t="s">
        <v>368</v>
      </c>
    </row>
    <row r="17" spans="1:3" ht="108.6">
      <c r="A17" t="s">
        <v>232</v>
      </c>
      <c r="B17" s="15" t="s">
        <v>520</v>
      </c>
      <c r="C17" s="18" t="s">
        <v>369</v>
      </c>
    </row>
    <row r="18" spans="1:3" ht="108.6">
      <c r="A18" t="s">
        <v>233</v>
      </c>
      <c r="B18" s="15" t="s">
        <v>521</v>
      </c>
      <c r="C18" s="18" t="s">
        <v>370</v>
      </c>
    </row>
    <row r="19" spans="1:3" ht="96.6">
      <c r="A19" t="s">
        <v>477</v>
      </c>
      <c r="B19" s="15" t="s">
        <v>522</v>
      </c>
      <c r="C19" s="17" t="s">
        <v>523</v>
      </c>
    </row>
    <row r="20" spans="1:3" ht="96.6">
      <c r="A20" t="s">
        <v>478</v>
      </c>
      <c r="B20" s="15" t="s">
        <v>524</v>
      </c>
      <c r="C20" s="17" t="s">
        <v>525</v>
      </c>
    </row>
    <row r="21" spans="1:3" ht="96.6">
      <c r="A21" t="s">
        <v>479</v>
      </c>
      <c r="B21" s="15" t="s">
        <v>526</v>
      </c>
      <c r="C21" s="18" t="s">
        <v>419</v>
      </c>
    </row>
    <row r="22" spans="1:3" ht="84.6">
      <c r="A22" t="s">
        <v>480</v>
      </c>
      <c r="B22" s="15" t="s">
        <v>527</v>
      </c>
      <c r="C22" s="18" t="s">
        <v>528</v>
      </c>
    </row>
    <row r="23" spans="1:3" ht="72.599999999999994">
      <c r="A23" t="s">
        <v>481</v>
      </c>
      <c r="B23" s="15" t="s">
        <v>529</v>
      </c>
      <c r="C23" s="18" t="s">
        <v>429</v>
      </c>
    </row>
    <row r="24" spans="1:3" ht="72.599999999999994">
      <c r="A24" t="s">
        <v>482</v>
      </c>
      <c r="B24" s="15" t="s">
        <v>530</v>
      </c>
      <c r="C24" s="18" t="s">
        <v>430</v>
      </c>
    </row>
    <row r="25" spans="1:3" ht="84.6">
      <c r="A25" t="s">
        <v>483</v>
      </c>
      <c r="B25" s="15" t="s">
        <v>531</v>
      </c>
      <c r="C25" s="18" t="s">
        <v>374</v>
      </c>
    </row>
    <row r="26" spans="1:3" ht="84.6">
      <c r="A26" t="s">
        <v>484</v>
      </c>
      <c r="B26" s="15" t="s">
        <v>532</v>
      </c>
      <c r="C26" s="18" t="s">
        <v>375</v>
      </c>
    </row>
    <row r="27" spans="1:3" ht="84.6">
      <c r="A27" t="s">
        <v>485</v>
      </c>
      <c r="B27" s="15" t="s">
        <v>533</v>
      </c>
      <c r="C27" s="17" t="s">
        <v>376</v>
      </c>
    </row>
    <row r="28" spans="1:3" ht="84.6">
      <c r="A28" t="s">
        <v>486</v>
      </c>
      <c r="B28" s="15" t="s">
        <v>534</v>
      </c>
      <c r="C28" s="17" t="s">
        <v>377</v>
      </c>
    </row>
    <row r="29" spans="1:3" ht="72.599999999999994">
      <c r="A29" t="s">
        <v>494</v>
      </c>
      <c r="B29" s="15" t="s">
        <v>535</v>
      </c>
      <c r="C29" s="18" t="s">
        <v>366</v>
      </c>
    </row>
    <row r="30" spans="1:3" ht="72.599999999999994">
      <c r="A30" t="s">
        <v>488</v>
      </c>
      <c r="B30" s="15" t="s">
        <v>536</v>
      </c>
      <c r="C30" s="18" t="s">
        <v>421</v>
      </c>
    </row>
    <row r="31" spans="1:3" ht="72.599999999999994">
      <c r="A31" t="s">
        <v>489</v>
      </c>
      <c r="B31" s="15" t="s">
        <v>537</v>
      </c>
      <c r="C31" s="18" t="s">
        <v>362</v>
      </c>
    </row>
    <row r="32" spans="1:3" ht="72.599999999999994">
      <c r="A32" t="s">
        <v>490</v>
      </c>
      <c r="B32" s="15" t="s">
        <v>538</v>
      </c>
      <c r="C32" s="18" t="s">
        <v>363</v>
      </c>
    </row>
    <row r="33" spans="1:3" ht="72.599999999999994">
      <c r="A33" t="s">
        <v>492</v>
      </c>
      <c r="B33" s="15" t="s">
        <v>539</v>
      </c>
      <c r="C33" s="18" t="s">
        <v>422</v>
      </c>
    </row>
    <row r="34" spans="1:3" ht="72.599999999999994">
      <c r="A34" t="s">
        <v>493</v>
      </c>
      <c r="B34" s="15" t="s">
        <v>540</v>
      </c>
      <c r="C34" s="18" t="s">
        <v>364</v>
      </c>
    </row>
    <row r="35" spans="1:3" ht="84.6">
      <c r="A35" t="s">
        <v>371</v>
      </c>
      <c r="B35" s="15" t="s">
        <v>541</v>
      </c>
      <c r="C35" s="18" t="s">
        <v>423</v>
      </c>
    </row>
    <row r="36" spans="1:3" ht="84.6">
      <c r="A36" t="s">
        <v>496</v>
      </c>
      <c r="B36" s="15" t="s">
        <v>542</v>
      </c>
      <c r="C36" s="17" t="s">
        <v>379</v>
      </c>
    </row>
    <row r="37" spans="1:3" ht="108.6">
      <c r="A37" t="s">
        <v>497</v>
      </c>
      <c r="B37" s="15" t="s">
        <v>543</v>
      </c>
      <c r="C37" s="18" t="s">
        <v>390</v>
      </c>
    </row>
    <row r="38" spans="1:3" ht="108.6">
      <c r="A38" t="s">
        <v>491</v>
      </c>
      <c r="B38" s="15" t="s">
        <v>544</v>
      </c>
      <c r="C38" s="18" t="s">
        <v>545</v>
      </c>
    </row>
    <row r="39" spans="1:3" ht="96.6">
      <c r="A39" t="s">
        <v>487</v>
      </c>
      <c r="B39" s="15" t="s">
        <v>546</v>
      </c>
      <c r="C39" s="18" t="s">
        <v>420</v>
      </c>
    </row>
    <row r="40" spans="1:3" ht="72.599999999999994">
      <c r="A40" t="s">
        <v>495</v>
      </c>
      <c r="B40" s="15" t="s">
        <v>547</v>
      </c>
      <c r="C40" s="18" t="s">
        <v>378</v>
      </c>
    </row>
    <row r="41" spans="1:3">
      <c r="B41" s="15"/>
    </row>
    <row r="42" spans="1:3">
      <c r="B42" s="15"/>
    </row>
    <row r="43" spans="1:3">
      <c r="B43" s="15"/>
    </row>
    <row r="44" spans="1:3">
      <c r="B44" s="15"/>
    </row>
    <row r="45" spans="1:3">
      <c r="B45" s="15"/>
    </row>
    <row r="46" spans="1:3">
      <c r="B46" s="15"/>
    </row>
    <row r="47" spans="1:3">
      <c r="B47" s="15"/>
    </row>
    <row r="48" spans="1:3">
      <c r="B48" s="15"/>
      <c r="C48" s="17"/>
    </row>
    <row r="64" spans="2:3">
      <c r="B64" s="15"/>
      <c r="C64" s="17"/>
    </row>
    <row r="71" spans="2:3">
      <c r="B71" s="15"/>
      <c r="C71"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7A62D-8F6F-4035-9FA0-4F6DD7C418DA}">
  <sheetPr codeName="Sheet7"/>
  <dimension ref="A1:C70"/>
  <sheetViews>
    <sheetView topLeftCell="A18" workbookViewId="0">
      <selection activeCell="C25" sqref="C25"/>
    </sheetView>
  </sheetViews>
  <sheetFormatPr defaultRowHeight="14.4"/>
  <cols>
    <col min="1" max="1" width="31.109375" customWidth="1"/>
    <col min="2" max="2" width="29.6640625" bestFit="1" customWidth="1"/>
  </cols>
  <sheetData>
    <row r="1" spans="1:3">
      <c r="A1" t="s">
        <v>320</v>
      </c>
    </row>
    <row r="2" spans="1:3">
      <c r="A2" t="s">
        <v>321</v>
      </c>
    </row>
    <row r="3" spans="1:3">
      <c r="A3" t="s">
        <v>288</v>
      </c>
    </row>
    <row r="4" spans="1:3">
      <c r="A4" t="s">
        <v>277</v>
      </c>
    </row>
    <row r="6" spans="1:3">
      <c r="A6" t="s">
        <v>278</v>
      </c>
    </row>
    <row r="7" spans="1:3">
      <c r="A7" t="s">
        <v>279</v>
      </c>
      <c r="B7" t="str" cm="1">
        <f t="array" ref="B7">Util_showFormula(C7)</f>
        <v>=Util_GenRandom(32)</v>
      </c>
      <c r="C7" t="str" cm="1">
        <f t="array" ref="C7">Util_GenRandom(32)</f>
        <v>1988719BCEB0C3302E3AF7D2920B87B7AD65BFA240D1960237C3965D74EFEB29</v>
      </c>
    </row>
    <row r="8" spans="1:3">
      <c r="A8" t="s">
        <v>280</v>
      </c>
    </row>
    <row r="9" spans="1:3">
      <c r="A9" t="s">
        <v>2</v>
      </c>
      <c r="B9" t="str" cm="1">
        <f t="array" ref="B9">Util_showFormula(C9)</f>
        <v>=Util_GenRandom((16))</v>
      </c>
      <c r="C9" t="str" cm="1">
        <f t="array" ref="C9">Util_GenRandom((16))</f>
        <v>4CA16B8EC2BF9A950388106B8522397E</v>
      </c>
    </row>
    <row r="10" spans="1:3">
      <c r="A10" t="s">
        <v>326</v>
      </c>
      <c r="B10" t="str" cm="1">
        <f t="array" ref="B10">Util_showFormula(C10)</f>
        <v>=Util_HexStrToBase64(C9)</v>
      </c>
      <c r="C10" t="str" cm="1">
        <f t="array" ref="C10">Util_HexStrToBase64(C9)</f>
        <v>TKFrjsK/mpUDiBBrhSI5fg==</v>
      </c>
    </row>
    <row r="11" spans="1:3">
      <c r="A11" t="s">
        <v>281</v>
      </c>
      <c r="C11" t="s">
        <v>283</v>
      </c>
    </row>
    <row r="12" spans="1:3">
      <c r="A12" t="s">
        <v>284</v>
      </c>
    </row>
    <row r="13" spans="1:3">
      <c r="A13" t="s">
        <v>282</v>
      </c>
      <c r="B13" t="str" cm="1">
        <f t="array" ref="B13">Util_showFormula(C13)</f>
        <v>=Util_AsciiToHexStr(C11)</v>
      </c>
      <c r="C13" t="str" cm="1">
        <f t="array" ref="C13">Util_AsciiToHexStr(C11)</f>
        <v>486920416C69636520776861742061626F75742064696E6E657220746F6E69676874203F</v>
      </c>
    </row>
    <row r="14" spans="1:3">
      <c r="A14" t="s">
        <v>3</v>
      </c>
      <c r="C14" t="s">
        <v>4</v>
      </c>
    </row>
    <row r="16" spans="1:3">
      <c r="A16" t="s">
        <v>285</v>
      </c>
      <c r="B16" t="str" cm="1">
        <f t="array" ref="B16">Util_showFormula(C16)</f>
        <v>=AES_Encrypt(C7,C13,C14,C9)</v>
      </c>
      <c r="C16" t="str" cm="1">
        <f t="array" ref="C16">AES_Encrypt(C7,C13,C14,C9)</f>
        <v>8FA9D4CD577074AC06A9C92EA53D586D4E828E32AD08E841DF8B9034E4278B729A00EB5DD8D21B96D01648221343838A</v>
      </c>
    </row>
    <row r="17" spans="1:3">
      <c r="A17" t="s">
        <v>327</v>
      </c>
      <c r="B17" t="str" cm="1">
        <f t="array" ref="B17">Util_showFormula(C17)</f>
        <v>=Util_HexStrToBase64(C16)</v>
      </c>
      <c r="C17" t="str" cm="1">
        <f t="array" ref="C17">Util_HexStrToBase64(C16)</f>
        <v>j6nUzVdwdKwGqckupT1YbU6CjjKtCOhB34uQNOQni3KaAOtd2NIbltAWSCITQ4OK</v>
      </c>
    </row>
    <row r="20" spans="1:3">
      <c r="A20" t="s">
        <v>298</v>
      </c>
    </row>
    <row r="21" spans="1:3">
      <c r="A21" t="s">
        <v>289</v>
      </c>
      <c r="C21" t="s">
        <v>186</v>
      </c>
    </row>
    <row r="22" spans="1:3">
      <c r="A22" t="s">
        <v>94</v>
      </c>
      <c r="B22" t="str" cm="1">
        <f t="array" ref="B22">Util_showFormula(C22)</f>
        <v>=Hash_Calculate(C21,C13)</v>
      </c>
      <c r="C22" t="str" cm="1">
        <f t="array" ref="C22">Hash_Calculate(C21,C13)</f>
        <v>3F77C58D2C1533160B6BF54A06A065D0CC2D51AB1DED4948D27D5480C9C9DB00</v>
      </c>
    </row>
    <row r="23" spans="1:3">
      <c r="A23" t="s">
        <v>290</v>
      </c>
    </row>
    <row r="24" spans="1:3">
      <c r="A24" t="s">
        <v>264</v>
      </c>
      <c r="B24" t="str" cm="1">
        <f t="array" ref="B24">Util_showFormula(C24)</f>
        <v>=VLOOKUP(A24,Keys,2,FALSE)</v>
      </c>
      <c r="C24" t="str">
        <f>VLOOKUP(A24,Keys,2,FALSE)</f>
        <v>-----BEGIN PRIVATE KEY-----MIIEvgIBADANBgkqhkiG9w0BAQEFAASCBKgwggSkAgEAAoIBAQD0BSXsTtCGKOwiPiAjk+aBXaiyWMpRHGPIGMHVT7rv10FNIVyG+xW3a9ZRgwnmkMheQzQ38zRUspogPLs/Us9Q2TbzxPfz0IWVGW9IgjKtzfrZ+n4AYX+RkYqzJRCBdrg+SpWg+NdAZBs8qYbgT7oD3vPQCUST0xXrr2tIRBesWrFrxipXLecjkf6xUML+EOEi/0nirAQhBePBmJz9w34ZT+TqrkcyWhYAuzboujhwGCUndx5qSa+8Im2z3iuPddnIhQX2/02jGW9vZMn1+83jBNVOqWe3XWDe4YU9Zg9cFvyvqxluYmBxy1OjCLLhAZ9ZUZ91ltWq8rgLKleeEgOBAgMBAAECggEBAN7qeQtXsHxuk9BwSnHV4aPaSIqsPB4+vhSEMUZJcK87SAdK67jPVLZbx8xs1bWQG8qov+JAxVR+V/gNIs0lPAhSdjXYgN51ZiKfup5VejB2U6uffk2gw6XafAdNW7e5GXSmM+x6hkDnck5HW9Q8YOS6XqZ0YPZdxc+pT2sT8UBbTMCtIJ1XPZGj9uZR41Vt5ZMwHt5/QiTkkb2oTSzyq19JwGwUiIerqY1mAX7Zu8v4JigqWd4bbx11R/k8tAC/Tn9FQ4iGbm6dBb38208KHaBMMHOSURvH5FO3E9/W+0yT3VsJlfO+ptgB6vx0lwHmLIdefuFK1Fz9juCkSOERh4UCgYEA++FwSVUyiocgJl2a4Ounp426SgatBTMrEqWSZ0X2eQYdFLv49keC+76PIc4GjI5/eDrvPPW9FbbhPcxUApcFJQtAydFswAE8JoBf4+o3vJ4P5ZFz0tc8tqVgJ0mHuhEAE6nZM6nuAJfDovs/QoIPNGcO/N0SnxheS8gGiLpypuMCgYEA+ALMrYkWStuPfP2IZ67M8hELQ74W09ftuy1IMqR4Pyf3bNAqgYEzZi28G3I8IyPlYu0nJQBWyYXp4Ltnd8IXR+q3mjLG5EbX7PCQgkL4twxX4l56z7eXUbwECOudza1w7c7ZDjvsa7GB48K29MITpQ4MyDeJt8XT+Bl6ZAWTlUsCgYBrxVyu89YpMYHPCJQBErNsXJbNn6eeJvOSCefnaib4R2Zf/cGbVqOzpShG1Yk10K63ubetRJO/27zqHSgA568a14LEF2hJiv26l4jv0sJAYPz6Q87j8pYWrBHFHZAGS8nVoAHAOkAMXuMlNA0wHsf0qvfdt5WFHv8Ru6cYD3aI8wKBgGqzqaOvqyuhsuYvnhQdnIc41gPbMK8L43f4T2uaXzGs3EKwfNki4R5A5wFX8I+dzf710TWWI8CoIKtTdXyMwL9sOHnbBr8Hy7Zg+YtRjPgUE2uNAoGDl1LO9V1xIX9v83oc2D3LgjgDMsLu7w/2v8TveohZfKLYNg4zx/hofcppAoGBAPDRwd2CaDa3TeL5x4Q7AR7dg+wgxXbgvE5GjqU+xHtoKkyWUFhKW/YdcWW97/jUghnEXQCzO7UB4ZRdMUrW5CO8nmZzHxJmn5Tn0QxoLf6NAK9c3w6jnK9cFJ1c6Ff52QQC/RdzAFmTN6ja5zI8MaF132r2WYPoWWpGPVaIWLZg-----END PRIVATE KEY-----</v>
      </c>
    </row>
    <row r="25" spans="1:3">
      <c r="A25" t="s">
        <v>291</v>
      </c>
      <c r="B25" t="str" cm="1">
        <f t="array" ref="B25">Util_showFormula(C25)</f>
        <v>=RSA_SignHash(C24,C22,C21)</v>
      </c>
      <c r="C25" t="str" cm="1">
        <f t="array" ref="C25">RSA_SignHash(C24,C22,C21)</f>
        <v>7783D44976635B1FB40F04A159ADBD14A43382A6FCBABEA86857C712DD2BB278D39039488866E188E3AAA7312C76D51E2EE2851CD5BD56DC7C3354219A4BE828C8D5054E22E4968E829AF6C07B96F8EF90785DD9738C19587041F62FE18E89873259B9320219C25CC35C2A553B6AFAD8837EDD7BF704F8C391DC9174C804E434FF6D1E065061B60D987D3C2DD5A48C0243ED6EFBCFF66D0A43FD9298CDF7101F26ABAA9E2545D86D1E3C89CF5F5C14F6B379D5FC96EA73A9290CFD35E7C458E754306F7FAE3FC16212BE13E2CEBEF8A5A3A0B00097083CE1A7D7EE470B1CC9355949A6E62785796790B2E3738EDB80BC99FABE21F3753913C95E417CD3414A3F</v>
      </c>
    </row>
    <row r="26" spans="1:3">
      <c r="A26" t="s">
        <v>296</v>
      </c>
      <c r="B26" t="str" cm="1">
        <f t="array" ref="B26">Util_showFormula(C26)</f>
        <v>=Util_HexStrToBase64(C25)</v>
      </c>
      <c r="C26" t="str" cm="1">
        <f t="array" ref="C26">Util_HexStrToBase64(C25)</f>
        <v>d4PUSXZjWx+0DwShWa29FKQzgqb8ur6oaFfHEt0rsnjTkDlIiGbhiOOqpzEsdtUe_x000D_
LuKFHNW9Vtx8M1QhmkvoKMjVBU4i5JaOgpr2wHuW+O+QeF3Zc4wZWHBB9i/hjomH_x000D_
Mlm5MgIZwlzDXCpVO2r62IN+3Xv3BPjDkdyRdMgE5DT/bR4GUGG2DZh9PC3VpIwC_x000D_
Q+1u+8/2bQpD/ZKYzfcQHyarqp4lRdhtHjyJz19cFPazedX8lupzqSkM/TXnxFjn_x000D_
VDBvf64/wWISvhPizr74paOgsACXCDzhp9fuRwscyTVZSabmJ4V5Z5Cy43OO24C8_x000D_
mfq+IfN1ORPJXkF800FKPw==</v>
      </c>
    </row>
    <row r="28" spans="1:3">
      <c r="A28" t="s">
        <v>292</v>
      </c>
    </row>
    <row r="29" spans="1:3">
      <c r="A29" t="s">
        <v>261</v>
      </c>
      <c r="B29" t="str" cm="1">
        <f t="array" ref="B29">Util_showFormula(C29)</f>
        <v>=VLOOKUP(A29,Keys,2,FALSE)</v>
      </c>
      <c r="C29" t="str">
        <f>VLOOKUP(A29,Keys,2,FALSE)</f>
        <v>-----BEGIN PUBLIC KEY-----MIIBIjANBgkqhkiG9w0BAQEFAAOCAQ8AMIIBCgKCAQEAowEAssi1xLGgl3Mrttp/F/Fcv3wR7teT8OEcgWp68cs9ySyEhtx3cjvnXoVDJDXLC1DO/DIKiJunqyQVoOUR6l/k+OKgqNFgcRPy3g/8SpYp/VY4w5oaWx+4nB42Fww8d8spjkW9h6vM9cfzaTjWJMZgsxLDA+6K/mPNG50sUYPZX+PxqAVQTzWqYbJCeelJGH9wiWgVPC7RqE+NFqKeT1HVfplvOquwyBhVLYuph8poNle+Op3xBb0yjqb28m58tu0T6JJHRpm58ZFGCMTjE9rfztmsQlJfOm8tEi4dl8zKqxKcI9zqBikKUepPYLLdsviE/PTF5w4zZtkaHQ/2XwIDAQAB-----END PUBLIC KEY-----</v>
      </c>
    </row>
    <row r="30" spans="1:3">
      <c r="A30" t="s">
        <v>286</v>
      </c>
      <c r="C30" t="s">
        <v>287</v>
      </c>
    </row>
    <row r="31" spans="1:3">
      <c r="A31" t="s">
        <v>293</v>
      </c>
      <c r="B31" t="str" cm="1">
        <f t="array" ref="B31">Util_showFormula(C31)</f>
        <v>=RSA_Encrypt(C29,C7,C30)</v>
      </c>
      <c r="C31" t="str" cm="1">
        <f t="array" ref="C31">RSA_Encrypt(C29,C7,C30)</f>
        <v>4B8A6CCBB19A0FB42D38BAC0C8F12B7DFD2AEDF99A1CFDC62349AEAE5CD45C946CE5141E59A98342F9728780C644DE7BCB20C91C7394EA878D62B6C03EBB11EB186DE627FF3E806A00AD96E5DCAF32A23F81ECBE6EE55134FFA9ED0EA7DB981827CEC5CF25FE072604186ECC79CC71C181C14753AC38D133BC1722DD3E4E6A8503695365E413E0B0120764B49176611F5C7DC5849B8C15C2015A07C463B2B82F4939FB5741CFCCE5A20B83C1610801042E1FBF35D339B603922EBD31642177F3E01E325C236E56A0EBACADF2623E0F28ACCCB004A376E24F535DF37926051E6709F4FB1C34D9BB2A8C427A8E4EA3E59AC093198FFD7DB0FD046E63079F274FF6</v>
      </c>
    </row>
    <row r="32" spans="1:3">
      <c r="A32" t="s">
        <v>295</v>
      </c>
      <c r="B32" t="str" cm="1">
        <f t="array" ref="B32">Util_showFormula(C32)</f>
        <v>=Util_HexStrToBase64(C31)</v>
      </c>
      <c r="C32" t="str" cm="1">
        <f t="array" ref="C32">Util_HexStrToBase64(C31)</f>
        <v>S4psy7GaD7QtOLrAyPErff0q7fmaHP3GI0murlzUXJRs5RQeWamDQvlyh4DGRN57_x000D_
yyDJHHOU6oeNYrbAPrsR6xht5if/PoBqAK2W5dyvMqI/gey+buVRNP+p7Q6n25gY_x000D_
J87FzyX+ByYEGG7MecxxwYHBR1OsONEzvBci3T5OaoUDaVNl5BPgsBIHZLSRdmEf_x000D_
XH3FhJuMFcIBWgfEY7K4L0k5+1dBz8zloguDwWEIAQQuH7810zm2A5IuvTFkIXfz_x000D_
4B4yXCNuVqDrrK3yYj4PKKzMsASjduJPU13zeSYFHmcJ9PscNNm7KoxCeo5Oo+Wa_x000D_
wJMZj/19sP0EbmMHnydP9g==</v>
      </c>
    </row>
    <row r="34" spans="1:3">
      <c r="A34" t="s">
        <v>294</v>
      </c>
    </row>
    <row r="35" spans="1:3">
      <c r="A35" t="str">
        <f>A10</f>
        <v>AdvancedBobIV.Base64</v>
      </c>
      <c r="B35" t="str" cm="1">
        <f t="array" ref="B35">Util_showFormula(C35)</f>
        <v>=C10</v>
      </c>
      <c r="C35" t="str">
        <f>C10</f>
        <v>TKFrjsK/mpUDiBBrhSI5fg==</v>
      </c>
    </row>
    <row r="36" spans="1:3">
      <c r="A36" t="str">
        <f>A17</f>
        <v>AdvancedBobEncrypted,Base64</v>
      </c>
      <c r="B36" t="str" cm="1">
        <f t="array" ref="B36">Util_showFormula(C36)</f>
        <v>=C17</v>
      </c>
      <c r="C36" t="str">
        <f>C17</f>
        <v>j6nUzVdwdKwGqckupT1YbU6CjjKtCOhB34uQNOQni3KaAOtd2NIbltAWSCITQ4OK</v>
      </c>
    </row>
    <row r="37" spans="1:3">
      <c r="A37" t="str">
        <f>A32</f>
        <v>BobEncryptedKeyBase64</v>
      </c>
      <c r="B37" t="str" cm="1">
        <f t="array" ref="B37">Util_showFormula(C37)</f>
        <v>=C32</v>
      </c>
      <c r="C37" t="str">
        <f>C32</f>
        <v>S4psy7GaD7QtOLrAyPErff0q7fmaHP3GI0murlzUXJRs5RQeWamDQvlyh4DGRN57_x000D_
yyDJHHOU6oeNYrbAPrsR6xht5if/PoBqAK2W5dyvMqI/gey+buVRNP+p7Q6n25gY_x000D_
J87FzyX+ByYEGG7MecxxwYHBR1OsONEzvBci3T5OaoUDaVNl5BPgsBIHZLSRdmEf_x000D_
XH3FhJuMFcIBWgfEY7K4L0k5+1dBz8zloguDwWEIAQQuH7810zm2A5IuvTFkIXfz_x000D_
4B4yXCNuVqDrrK3yYj4PKKzMsASjduJPU13zeSYFHmcJ9PscNNm7KoxCeo5Oo+Wa_x000D_
wJMZj/19sP0EbmMHnydP9g==</v>
      </c>
    </row>
    <row r="38" spans="1:3">
      <c r="A38" t="str">
        <f>A26</f>
        <v>BobSignatureBase64</v>
      </c>
      <c r="B38" t="str" cm="1">
        <f t="array" ref="B38">Util_showFormula(C38)</f>
        <v>=C26</v>
      </c>
      <c r="C38" t="str">
        <f>C26</f>
        <v>d4PUSXZjWx+0DwShWa29FKQzgqb8ur6oaFfHEt0rsnjTkDlIiGbhiOOqpzEsdtUe_x000D_
LuKFHNW9Vtx8M1QhmkvoKMjVBU4i5JaOgpr2wHuW+O+QeF3Zc4wZWHBB9i/hjomH_x000D_
Mlm5MgIZwlzDXCpVO2r62IN+3Xv3BPjDkdyRdMgE5DT/bR4GUGG2DZh9PC3VpIwC_x000D_
Q+1u+8/2bQpD/ZKYzfcQHyarqp4lRdhtHjyJz19cFPazedX8lupzqSkM/TXnxFjn_x000D_
VDBvf64/wWISvhPizr74paOgsACXCDzhp9fuRwscyTVZSabmJ4V5Z5Cy43OO24C8_x000D_
mfq+IfN1ORPJXkF800FKPw==</v>
      </c>
    </row>
    <row r="40" spans="1:3">
      <c r="A40" t="s">
        <v>297</v>
      </c>
    </row>
    <row r="41" spans="1:3">
      <c r="A41" s="13"/>
    </row>
    <row r="42" spans="1:3">
      <c r="A42" s="13"/>
    </row>
    <row r="43" spans="1:3">
      <c r="A43" t="s">
        <v>299</v>
      </c>
    </row>
    <row r="45" spans="1:3">
      <c r="A45" t="s">
        <v>300</v>
      </c>
    </row>
    <row r="46" spans="1:3">
      <c r="A46" t="s">
        <v>301</v>
      </c>
      <c r="C46" t="s">
        <v>317</v>
      </c>
    </row>
    <row r="47" spans="1:3">
      <c r="A47" t="s">
        <v>302</v>
      </c>
      <c r="C47" t="s">
        <v>318</v>
      </c>
    </row>
    <row r="48" spans="1:3">
      <c r="A48" t="s">
        <v>303</v>
      </c>
      <c r="C48" t="s">
        <v>319</v>
      </c>
    </row>
    <row r="49" spans="1:3">
      <c r="A49" t="s">
        <v>305</v>
      </c>
      <c r="C49" t="s">
        <v>304</v>
      </c>
    </row>
    <row r="51" spans="1:3">
      <c r="A51" t="s">
        <v>306</v>
      </c>
    </row>
    <row r="52" spans="1:3">
      <c r="A52" t="s">
        <v>264</v>
      </c>
      <c r="B52" t="str" cm="1">
        <f t="array" ref="B52">Util_showFormula(C52)</f>
        <v>=VLOOKUP(A52,Keys,2,FALSE)</v>
      </c>
      <c r="C52" t="str">
        <f>VLOOKUP(A52,Keys,2,FALSE)</f>
        <v>-----BEGIN PRIVATE KEY-----MIIEvgIBADANBgkqhkiG9w0BAQEFAASCBKgwggSkAgEAAoIBAQD0BSXsTtCGKOwiPiAjk+aBXaiyWMpRHGPIGMHVT7rv10FNIVyG+xW3a9ZRgwnmkMheQzQ38zRUspogPLs/Us9Q2TbzxPfz0IWVGW9IgjKtzfrZ+n4AYX+RkYqzJRCBdrg+SpWg+NdAZBs8qYbgT7oD3vPQCUST0xXrr2tIRBesWrFrxipXLecjkf6xUML+EOEi/0nirAQhBePBmJz9w34ZT+TqrkcyWhYAuzboujhwGCUndx5qSa+8Im2z3iuPddnIhQX2/02jGW9vZMn1+83jBNVOqWe3XWDe4YU9Zg9cFvyvqxluYmBxy1OjCLLhAZ9ZUZ91ltWq8rgLKleeEgOBAgMBAAECggEBAN7qeQtXsHxuk9BwSnHV4aPaSIqsPB4+vhSEMUZJcK87SAdK67jPVLZbx8xs1bWQG8qov+JAxVR+V/gNIs0lPAhSdjXYgN51ZiKfup5VejB2U6uffk2gw6XafAdNW7e5GXSmM+x6hkDnck5HW9Q8YOS6XqZ0YPZdxc+pT2sT8UBbTMCtIJ1XPZGj9uZR41Vt5ZMwHt5/QiTkkb2oTSzyq19JwGwUiIerqY1mAX7Zu8v4JigqWd4bbx11R/k8tAC/Tn9FQ4iGbm6dBb38208KHaBMMHOSURvH5FO3E9/W+0yT3VsJlfO+ptgB6vx0lwHmLIdefuFK1Fz9juCkSOERh4UCgYEA++FwSVUyiocgJl2a4Ounp426SgatBTMrEqWSZ0X2eQYdFLv49keC+76PIc4GjI5/eDrvPPW9FbbhPcxUApcFJQtAydFswAE8JoBf4+o3vJ4P5ZFz0tc8tqVgJ0mHuhEAE6nZM6nuAJfDovs/QoIPNGcO/N0SnxheS8gGiLpypuMCgYEA+ALMrYkWStuPfP2IZ67M8hELQ74W09ftuy1IMqR4Pyf3bNAqgYEzZi28G3I8IyPlYu0nJQBWyYXp4Ltnd8IXR+q3mjLG5EbX7PCQgkL4twxX4l56z7eXUbwECOudza1w7c7ZDjvsa7GB48K29MITpQ4MyDeJt8XT+Bl6ZAWTlUsCgYBrxVyu89YpMYHPCJQBErNsXJbNn6eeJvOSCefnaib4R2Zf/cGbVqOzpShG1Yk10K63ubetRJO/27zqHSgA568a14LEF2hJiv26l4jv0sJAYPz6Q87j8pYWrBHFHZAGS8nVoAHAOkAMXuMlNA0wHsf0qvfdt5WFHv8Ru6cYD3aI8wKBgGqzqaOvqyuhsuYvnhQdnIc41gPbMK8L43f4T2uaXzGs3EKwfNki4R5A5wFX8I+dzf710TWWI8CoIKtTdXyMwL9sOHnbBr8Hy7Zg+YtRjPgUE2uNAoGDl1LO9V1xIX9v83oc2D3LgjgDMsLu7w/2v8TveohZfKLYNg4zx/hofcppAoGBAPDRwd2CaDa3TeL5x4Q7AR7dg+wgxXbgvE5GjqU+xHtoKkyWUFhKW/YdcWW97/jUghnEXQCzO7UB4ZRdMUrW5CO8nmZzHxJmn5Tn0QxoLf6NAK9c3w6jnK9cFJ1c6Ff52QQC/RdzAFmTN6ja5zI8MaF132r2WYPoWWpGPVaIWLZg-----END PRIVATE KEY-----</v>
      </c>
    </row>
    <row r="53" spans="1:3">
      <c r="A53" t="s">
        <v>307</v>
      </c>
      <c r="B53" t="str" cm="1">
        <f t="array" ref="B53">Util_showFormula(C53)</f>
        <v>=util_Base64ToHexStr(C46)</v>
      </c>
      <c r="C53" t="str" cm="1">
        <f t="array" ref="C53">util_Base64ToHexStr(C46)</f>
        <v>7BDAAD9A0F2F1A87FCAC08C418F8E3F6B4059F66292C3A3C2A95E66D0D99C8D226DED4A18589B49346C763633F19FEC6457061DADDF32F17D966FC8A7B12E23DFCD7F2C1F43308E8B33204159BDD842E40BDE41F4F6C917D8895CE6DAE7DE4957F6CC6B75414F5F6D7A8F459B4F1C54A9FCFEA8BED658886258060DB4438E17C6B126737156A80D920ACAA95C44FF6C1AB952DF1C48D2B06924694B4B61E0CC89843D815397C309DF5ED1B2CE86F69E0897760610F1DE7DF1EBC37675811F2E418A885FBFCA847E19477250806978581FFD873FCD37F8EEB47926D5CAFCD1718ED007E1751F567041905841CFD90A67C76F2C74C909D2158CA022AE3AE816B82</v>
      </c>
    </row>
    <row r="54" spans="1:3">
      <c r="A54" t="s">
        <v>308</v>
      </c>
      <c r="B54" t="str" cm="1">
        <f t="array" ref="B54">Util_showFormula(C54)</f>
        <v>=RSA_Decrypt(C52,C53,"PKCS1")</v>
      </c>
      <c r="C54" t="str" cm="1">
        <f t="array" ref="C54">RSA_Decrypt(C52,C53,"PKCS1")</f>
        <v>0CEDA17CFD32FCE54E2D885E773EE924C0E1F4B62F9DA67ABB2B111A2C9BEB91</v>
      </c>
    </row>
    <row r="56" spans="1:3">
      <c r="A56" t="s">
        <v>311</v>
      </c>
    </row>
    <row r="57" spans="1:3">
      <c r="A57" t="s">
        <v>309</v>
      </c>
      <c r="B57" t="str" cm="1">
        <f t="array" ref="B57">Util_showFormula(C57)</f>
        <v>=util_Base64ToHexStr(C47)</v>
      </c>
      <c r="C57" t="str" cm="1">
        <f t="array" ref="C57">util_Base64ToHexStr(C47)</f>
        <v>E61AC7FE4B8585660A0B0CE54C765555</v>
      </c>
    </row>
    <row r="58" spans="1:3">
      <c r="A58" t="s">
        <v>310</v>
      </c>
      <c r="B58" t="str" cm="1">
        <f t="array" ref="B58">Util_showFormula(C58)</f>
        <v>=util_Base64ToHexStr(C48)</v>
      </c>
      <c r="C58" t="str" cm="1">
        <f t="array" ref="C58">util_Base64ToHexStr(C48)</f>
        <v>73B01CC053C7F11CAC6A9A6F1588FD9D1E9AA8FF9C1180394DCA4F5A65A8761114CDEE84B8E08F45984D729F6B87C36E</v>
      </c>
    </row>
    <row r="59" spans="1:3">
      <c r="A59" t="s">
        <v>3</v>
      </c>
      <c r="B59" t="str" cm="1">
        <f t="array" ref="B59">Util_showFormula(C59)</f>
        <v>CBC</v>
      </c>
      <c r="C59" t="s">
        <v>4</v>
      </c>
    </row>
    <row r="60" spans="1:3">
      <c r="A60" t="s">
        <v>312</v>
      </c>
      <c r="B60" t="str" cm="1">
        <f t="array" ref="B60">Util_showFormula(C60)</f>
        <v>=AES_Decrypt(C54,C58,C59,C57)</v>
      </c>
      <c r="C60" t="str" cm="1">
        <f t="array" ref="C60">AES_Decrypt(C54,C58,C59,C57)</f>
        <v>476F6F64206964656120492077696C6C20636F6D6520746F20796F75206174203720504D0A</v>
      </c>
    </row>
    <row r="61" spans="1:3">
      <c r="A61" t="s">
        <v>313</v>
      </c>
      <c r="B61" t="str" cm="1">
        <f t="array" ref="B61">Util_showFormula(C61)</f>
        <v>=Util_hexStrToAscii(C60)</v>
      </c>
      <c r="C61" t="str" cm="1">
        <f t="array" ref="C61">Util_hexStrToAscii(C60)</f>
        <v xml:space="preserve">Good idea I will come to you at 7 PM
</v>
      </c>
    </row>
    <row r="63" spans="1:3">
      <c r="A63" t="s">
        <v>314</v>
      </c>
    </row>
    <row r="64" spans="1:3">
      <c r="A64" t="s">
        <v>315</v>
      </c>
      <c r="B64" t="str" cm="1">
        <f t="array" ref="B64">Util_showFormula(C64)</f>
        <v>SHA256</v>
      </c>
      <c r="C64" t="s">
        <v>186</v>
      </c>
    </row>
    <row r="65" spans="1:3">
      <c r="A65" t="s">
        <v>187</v>
      </c>
      <c r="B65" t="str" cm="1">
        <f t="array" ref="B65">Util_showFormula(C65)</f>
        <v>=Hash_Calculate(C64,C60)</v>
      </c>
      <c r="C65" t="str" cm="1">
        <f t="array" ref="C65">Hash_Calculate(C64,C60)</f>
        <v>58655916169961A114203A989E998BFA9398094A3E1624A35BC800D59E1D566E</v>
      </c>
    </row>
    <row r="68" spans="1:3">
      <c r="A68" t="s">
        <v>316</v>
      </c>
      <c r="B68" t="str" cm="1">
        <f t="array" ref="B68">Util_showFormula(C68)</f>
        <v>=util_Base64ToHexStr(C49)</v>
      </c>
      <c r="C68" t="str" cm="1">
        <f t="array" ref="C68">util_Base64ToHexStr(C49)</f>
        <v>616CD10C7C843B5FF3EF60788EC4811130B25DF0D00B488912A1D07C5EA6273189DF491E53BB8C31DA62ED0D2B0631C9D50EADBCD221AF555EABAE9F49BD1005037338CDBED487485AA97E17E08D672E38AB33FD873590C7061262CB227EDDF24E86E6219782D8A5FCB7960A12AFD25387759200E570F8E8517B77A2EECC9A4D11238096C5074F28DE7776AC66BB11F3FBA84D55233CCB9267E0D735206878B464DE3E9C683431C6C05985DB337B2220F533106A37726E09E0B50814E14D175E7F9A6BB6C5047B4FF185B7E3C27E7A9E40CB4234D949B632BF7B0D0AB53E0D9BB59C6F17F71971E58D5C3F351879EEBC7746A1A61CC467296197DF407C955DEC</v>
      </c>
    </row>
    <row r="69" spans="1:3">
      <c r="A69" t="s">
        <v>261</v>
      </c>
      <c r="B69" t="str" cm="1">
        <f t="array" ref="B69">Util_showFormula(C69)</f>
        <v>=VLOOKUP(A69,Keys,2,FALSE)</v>
      </c>
      <c r="C69" t="str">
        <f>VLOOKUP(A69,Keys,2,FALSE)</f>
        <v>-----BEGIN PUBLIC KEY-----MIIBIjANBgkqhkiG9w0BAQEFAAOCAQ8AMIIBCgKCAQEAowEAssi1xLGgl3Mrttp/F/Fcv3wR7teT8OEcgWp68cs9ySyEhtx3cjvnXoVDJDXLC1DO/DIKiJunqyQVoOUR6l/k+OKgqNFgcRPy3g/8SpYp/VY4w5oaWx+4nB42Fww8d8spjkW9h6vM9cfzaTjWJMZgsxLDA+6K/mPNG50sUYPZX+PxqAVQTzWqYbJCeelJGH9wiWgVPC7RqE+NFqKeT1HVfplvOquwyBhVLYuph8poNle+Op3xBb0yjqb28m58tu0T6JJHRpm58ZFGCMTjE9rfztmsQlJfOm8tEi4dl8zKqxKcI9zqBikKUepPYLLdsviE/PTF5w4zZtkaHQ/2XwIDAQAB-----END PUBLIC KEY-----</v>
      </c>
    </row>
    <row r="70" spans="1:3">
      <c r="A70" t="s">
        <v>190</v>
      </c>
      <c r="B70" t="str" cm="1">
        <f t="array" ref="B70">Util_showFormula(C70)</f>
        <v>=RSA_VerifySignature(C69,C65,C68,C64,"OK result")</v>
      </c>
      <c r="C70" t="str" cm="1">
        <f t="array" ref="C70">RSA_VerifySignature(C69,C65,C68,C64,"OK result")</f>
        <v>OK result</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82529-5DFB-4B46-836E-B7030F6ACFBD}">
  <sheetPr codeName="Sheet9"/>
  <dimension ref="A1:J99"/>
  <sheetViews>
    <sheetView workbookViewId="0">
      <selection activeCell="C27" sqref="C27"/>
    </sheetView>
  </sheetViews>
  <sheetFormatPr defaultRowHeight="14.4"/>
  <cols>
    <col min="1" max="1" width="31.109375" customWidth="1"/>
    <col min="2" max="2" width="29.6640625" bestFit="1" customWidth="1"/>
    <col min="8" max="8" width="11.109375" bestFit="1" customWidth="1"/>
  </cols>
  <sheetData>
    <row r="1" spans="1:10">
      <c r="A1" t="s">
        <v>322</v>
      </c>
    </row>
    <row r="2" spans="1:10">
      <c r="A2" t="s">
        <v>332</v>
      </c>
      <c r="H2" t="str" cm="1">
        <f t="array" ref="H2">Util_AsciiToHexStr("Alice")</f>
        <v>416C696365</v>
      </c>
      <c r="I2" t="s">
        <v>333</v>
      </c>
      <c r="J2" t="str" cm="1">
        <f t="array" ref="J2">Util_AsciiToHexStr("Bob")</f>
        <v>426F62</v>
      </c>
    </row>
    <row r="3" spans="1:10">
      <c r="A3" t="s">
        <v>288</v>
      </c>
    </row>
    <row r="4" spans="1:10">
      <c r="A4" t="s">
        <v>277</v>
      </c>
    </row>
    <row r="6" spans="1:10">
      <c r="A6" t="s">
        <v>278</v>
      </c>
    </row>
    <row r="7" spans="1:10">
      <c r="A7" t="s">
        <v>279</v>
      </c>
      <c r="B7" t="str" cm="1">
        <f t="array" ref="B7">Util_showFormula(C7)</f>
        <v>=Util_GenRandom(32)</v>
      </c>
      <c r="C7" t="str" cm="1">
        <f t="array" ref="C7">Util_GenRandom(32)</f>
        <v>662CB3A35E6B27B377F46EC82CA4608C0C3C67C41CFB5F13AF46DE96726E29D1</v>
      </c>
    </row>
    <row r="8" spans="1:10">
      <c r="A8" t="s">
        <v>323</v>
      </c>
    </row>
    <row r="9" spans="1:10">
      <c r="A9" t="s">
        <v>324</v>
      </c>
      <c r="B9" t="str" cm="1">
        <f t="array" ref="B9">Util_showFormula(C9)</f>
        <v>=Util_GenRandom((12))</v>
      </c>
      <c r="C9" t="str" cm="1">
        <f t="array" ref="C9">Util_GenRandom((12))</f>
        <v>5792435BF272944E992B9F2E</v>
      </c>
    </row>
    <row r="10" spans="1:10">
      <c r="A10" t="s">
        <v>326</v>
      </c>
      <c r="B10" t="str" cm="1">
        <f t="array" ref="B10">Util_showFormula(C10)</f>
        <v>=Util_HexStrToBase64(C9)</v>
      </c>
      <c r="C10" t="str" cm="1">
        <f t="array" ref="C10">Util_HexStrToBase64(C9)</f>
        <v>V5JDW/JylE6ZK58u</v>
      </c>
    </row>
    <row r="11" spans="1:10">
      <c r="A11" t="s">
        <v>281</v>
      </c>
      <c r="C11" t="s">
        <v>283</v>
      </c>
    </row>
    <row r="12" spans="1:10">
      <c r="A12" t="s">
        <v>284</v>
      </c>
    </row>
    <row r="13" spans="1:10">
      <c r="A13" t="s">
        <v>282</v>
      </c>
      <c r="B13" t="str" cm="1">
        <f t="array" ref="B13">Util_showFormula(C13)</f>
        <v>=Util_AsciiToHexStr(C11)</v>
      </c>
      <c r="C13" t="str" cm="1">
        <f t="array" ref="C13">Util_AsciiToHexStr(C11)</f>
        <v>486920416C69636520776861742061626F75742064696E6E657220746F6E69676874203F</v>
      </c>
    </row>
    <row r="14" spans="1:10">
      <c r="A14" t="s">
        <v>3</v>
      </c>
      <c r="C14" t="s">
        <v>325</v>
      </c>
    </row>
    <row r="16" spans="1:10">
      <c r="A16" t="s">
        <v>285</v>
      </c>
      <c r="B16" t="str" cm="1">
        <f t="array" ref="B16">Util_showFormula(C16)</f>
        <v>=AES_Encrypt(C7,C13,C14,C9)</v>
      </c>
      <c r="C16" t="str" cm="1">
        <f t="array" ref="C16">AES_Encrypt(C7,C13,C14,C9)</f>
        <v>754D94FC5A6920EA7E1FF06C5CAD868566BE38C95DFBCBA07FD860948DDB03C3742887B5802223AD1A889661DB409EDF</v>
      </c>
    </row>
    <row r="17" spans="1:3">
      <c r="A17" t="s">
        <v>328</v>
      </c>
    </row>
    <row r="18" spans="1:3">
      <c r="A18" t="s">
        <v>334</v>
      </c>
      <c r="B18" t="str" cm="1">
        <f t="array" ref="B18">Util_showFormula(C18)</f>
        <v>=Util_HexStrToBase64(C16)</v>
      </c>
      <c r="C18" t="str" cm="1">
        <f t="array" ref="C18">Util_HexStrToBase64(C16)</f>
        <v>dU2U/FppIOp+H/BsXK2GhWa+OMld+8ugf9hglI3bA8N0KIe1gCIjrRqIlmHbQJ7f</v>
      </c>
    </row>
    <row r="20" spans="1:3">
      <c r="A20" t="s">
        <v>339</v>
      </c>
    </row>
    <row r="21" spans="1:3">
      <c r="B21" t="str" cm="1">
        <f t="array" ref="B21">Util_showFormula(C21)</f>
        <v>=GCM_getEncrypted(C16)</v>
      </c>
      <c r="C21" t="str" cm="1">
        <f t="array" ref="C21">GCM_getEncrypted(C16)</f>
        <v>754D94FC5A6920EA7E1FF06C5CAD868566BE38C95DFBCBA07FD860948DDB03C3742887B5</v>
      </c>
    </row>
    <row r="22" spans="1:3">
      <c r="B22" t="str" cm="1">
        <f t="array" ref="B22">Util_showFormula(C22)</f>
        <v>=GCM_getTag(C16)</v>
      </c>
      <c r="C22" t="str" cm="1">
        <f t="array" ref="C22">GCM_getTag(C16)</f>
        <v>802223AD1A889661DB409EDF</v>
      </c>
    </row>
    <row r="25" spans="1:3">
      <c r="A25" t="s">
        <v>298</v>
      </c>
    </row>
    <row r="26" spans="1:3">
      <c r="A26" t="s">
        <v>289</v>
      </c>
      <c r="C26" t="s">
        <v>186</v>
      </c>
    </row>
    <row r="27" spans="1:3">
      <c r="A27" t="s">
        <v>94</v>
      </c>
      <c r="B27" t="str" cm="1">
        <f t="array" ref="B27">Util_showFormula(C27)</f>
        <v>=Hash_Calculate(C26,C13)</v>
      </c>
      <c r="C27" t="str" cm="1">
        <f t="array" ref="C27">Hash_Calculate(C26,C13)</f>
        <v>3F77C58D2C1533160B6BF54A06A065D0CC2D51AB1DED4948D27D5480C9C9DB00</v>
      </c>
    </row>
    <row r="28" spans="1:3">
      <c r="A28" t="s">
        <v>290</v>
      </c>
    </row>
    <row r="29" spans="1:3">
      <c r="A29" t="s">
        <v>264</v>
      </c>
      <c r="B29" t="str" cm="1">
        <f t="array" ref="B29">Util_showFormula(C29)</f>
        <v>=VLOOKUP(A29,Keys,2,FALSE)</v>
      </c>
      <c r="C29" t="str">
        <f>VLOOKUP(A29,Keys,2,FALSE)</f>
        <v>-----BEGIN PRIVATE KEY-----MIIEvgIBADANBgkqhkiG9w0BAQEFAASCBKgwggSkAgEAAoIBAQD0BSXsTtCGKOwiPiAjk+aBXaiyWMpRHGPIGMHVT7rv10FNIVyG+xW3a9ZRgwnmkMheQzQ38zRUspogPLs/Us9Q2TbzxPfz0IWVGW9IgjKtzfrZ+n4AYX+RkYqzJRCBdrg+SpWg+NdAZBs8qYbgT7oD3vPQCUST0xXrr2tIRBesWrFrxipXLecjkf6xUML+EOEi/0nirAQhBePBmJz9w34ZT+TqrkcyWhYAuzboujhwGCUndx5qSa+8Im2z3iuPddnIhQX2/02jGW9vZMn1+83jBNVOqWe3XWDe4YU9Zg9cFvyvqxluYmBxy1OjCLLhAZ9ZUZ91ltWq8rgLKleeEgOBAgMBAAECggEBAN7qeQtXsHxuk9BwSnHV4aPaSIqsPB4+vhSEMUZJcK87SAdK67jPVLZbx8xs1bWQG8qov+JAxVR+V/gNIs0lPAhSdjXYgN51ZiKfup5VejB2U6uffk2gw6XafAdNW7e5GXSmM+x6hkDnck5HW9Q8YOS6XqZ0YPZdxc+pT2sT8UBbTMCtIJ1XPZGj9uZR41Vt5ZMwHt5/QiTkkb2oTSzyq19JwGwUiIerqY1mAX7Zu8v4JigqWd4bbx11R/k8tAC/Tn9FQ4iGbm6dBb38208KHaBMMHOSURvH5FO3E9/W+0yT3VsJlfO+ptgB6vx0lwHmLIdefuFK1Fz9juCkSOERh4UCgYEA++FwSVUyiocgJl2a4Ounp426SgatBTMrEqWSZ0X2eQYdFLv49keC+76PIc4GjI5/eDrvPPW9FbbhPcxUApcFJQtAydFswAE8JoBf4+o3vJ4P5ZFz0tc8tqVgJ0mHuhEAE6nZM6nuAJfDovs/QoIPNGcO/N0SnxheS8gGiLpypuMCgYEA+ALMrYkWStuPfP2IZ67M8hELQ74W09ftuy1IMqR4Pyf3bNAqgYEzZi28G3I8IyPlYu0nJQBWyYXp4Ltnd8IXR+q3mjLG5EbX7PCQgkL4twxX4l56z7eXUbwECOudza1w7c7ZDjvsa7GB48K29MITpQ4MyDeJt8XT+Bl6ZAWTlUsCgYBrxVyu89YpMYHPCJQBErNsXJbNn6eeJvOSCefnaib4R2Zf/cGbVqOzpShG1Yk10K63ubetRJO/27zqHSgA568a14LEF2hJiv26l4jv0sJAYPz6Q87j8pYWrBHFHZAGS8nVoAHAOkAMXuMlNA0wHsf0qvfdt5WFHv8Ru6cYD3aI8wKBgGqzqaOvqyuhsuYvnhQdnIc41gPbMK8L43f4T2uaXzGs3EKwfNki4R5A5wFX8I+dzf710TWWI8CoIKtTdXyMwL9sOHnbBr8Hy7Zg+YtRjPgUE2uNAoGDl1LO9V1xIX9v83oc2D3LgjgDMsLu7w/2v8TveohZfKLYNg4zx/hofcppAoGBAPDRwd2CaDa3TeL5x4Q7AR7dg+wgxXbgvE5GjqU+xHtoKkyWUFhKW/YdcWW97/jUghnEXQCzO7UB4ZRdMUrW5CO8nmZzHxJmn5Tn0QxoLf6NAK9c3w6jnK9cFJ1c6Ff52QQC/RdzAFmTN6ja5zI8MaF132r2WYPoWWpGPVaIWLZg-----END PRIVATE KEY-----</v>
      </c>
    </row>
    <row r="30" spans="1:3">
      <c r="A30" t="s">
        <v>291</v>
      </c>
      <c r="B30" t="str" cm="1">
        <f t="array" ref="B30">Util_showFormula(C30)</f>
        <v>=RSA_SignHash(C29,C27,C26)</v>
      </c>
      <c r="C30" t="str" cm="1">
        <f t="array" ref="C30">RSA_SignHash(C29,C27,C26)</f>
        <v>7783D44976635B1FB40F04A159ADBD14A43382A6FCBABEA86857C712DD2BB278D39039488866E188E3AAA7312C76D51E2EE2851CD5BD56DC7C3354219A4BE828C8D5054E22E4968E829AF6C07B96F8EF90785DD9738C19587041F62FE18E89873259B9320219C25CC35C2A553B6AFAD8837EDD7BF704F8C391DC9174C804E434FF6D1E065061B60D987D3C2DD5A48C0243ED6EFBCFF66D0A43FD9298CDF7101F26ABAA9E2545D86D1E3C89CF5F5C14F6B379D5FC96EA73A9290CFD35E7C458E754306F7FAE3FC16212BE13E2CEBEF8A5A3A0B00097083CE1A7D7EE470B1CC9355949A6E62785796790B2E3738EDB80BC99FABE21F3753913C95E417CD3414A3F</v>
      </c>
    </row>
    <row r="31" spans="1:3">
      <c r="A31" t="s">
        <v>335</v>
      </c>
      <c r="B31" t="str" cm="1">
        <f t="array" ref="B31">Util_showFormula(C31)</f>
        <v>=Util_HexStrToBase64(C30)</v>
      </c>
      <c r="C31" t="str" cm="1">
        <f t="array" ref="C31">Util_HexStrToBase64(C30)</f>
        <v>d4PUSXZjWx+0DwShWa29FKQzgqb8ur6oaFfHEt0rsnjTkDlIiGbhiOOqpzEsdtUe_x000D_
LuKFHNW9Vtx8M1QhmkvoKMjVBU4i5JaOgpr2wHuW+O+QeF3Zc4wZWHBB9i/hjomH_x000D_
Mlm5MgIZwlzDXCpVO2r62IN+3Xv3BPjDkdyRdMgE5DT/bR4GUGG2DZh9PC3VpIwC_x000D_
Q+1u+8/2bQpD/ZKYzfcQHyarqp4lRdhtHjyJz19cFPazedX8lupzqSkM/TXnxFjn_x000D_
VDBvf64/wWISvhPizr74paOgsACXCDzhp9fuRwscyTVZSabmJ4V5Z5Cy43OO24C8_x000D_
mfq+IfN1ORPJXkF800FKPw==</v>
      </c>
    </row>
    <row r="33" spans="1:3">
      <c r="A33" t="s">
        <v>292</v>
      </c>
    </row>
    <row r="34" spans="1:3">
      <c r="A34" t="s">
        <v>261</v>
      </c>
      <c r="B34" t="str" cm="1">
        <f t="array" ref="B34">Util_showFormula(C34)</f>
        <v>=VLOOKUP(A34,Keys,2,FALSE)</v>
      </c>
      <c r="C34" t="str">
        <f>VLOOKUP(A34,Keys,2,FALSE)</f>
        <v>-----BEGIN PUBLIC KEY-----MIIBIjANBgkqhkiG9w0BAQEFAAOCAQ8AMIIBCgKCAQEAowEAssi1xLGgl3Mrttp/F/Fcv3wR7teT8OEcgWp68cs9ySyEhtx3cjvnXoVDJDXLC1DO/DIKiJunqyQVoOUR6l/k+OKgqNFgcRPy3g/8SpYp/VY4w5oaWx+4nB42Fww8d8spjkW9h6vM9cfzaTjWJMZgsxLDA+6K/mPNG50sUYPZX+PxqAVQTzWqYbJCeelJGH9wiWgVPC7RqE+NFqKeT1HVfplvOquwyBhVLYuph8poNle+Op3xBb0yjqb28m58tu0T6JJHRpm58ZFGCMTjE9rfztmsQlJfOm8tEi4dl8zKqxKcI9zqBikKUepPYLLdsviE/PTF5w4zZtkaHQ/2XwIDAQAB-----END PUBLIC KEY-----</v>
      </c>
    </row>
    <row r="35" spans="1:3">
      <c r="A35" t="s">
        <v>286</v>
      </c>
      <c r="C35" t="s">
        <v>329</v>
      </c>
    </row>
    <row r="36" spans="1:3">
      <c r="A36" t="s">
        <v>330</v>
      </c>
      <c r="C36" t="s">
        <v>186</v>
      </c>
    </row>
    <row r="37" spans="1:3">
      <c r="A37" t="s">
        <v>331</v>
      </c>
      <c r="C37" t="str">
        <f>H2</f>
        <v>416C696365</v>
      </c>
    </row>
    <row r="38" spans="1:3">
      <c r="A38" t="s">
        <v>337</v>
      </c>
      <c r="C38" t="str" cm="1">
        <f t="array" ref="C38">Util_HexStrToBase64(C37)</f>
        <v>QWxpY2U=</v>
      </c>
    </row>
    <row r="39" spans="1:3">
      <c r="A39" t="s">
        <v>293</v>
      </c>
      <c r="B39" t="str" cm="1">
        <f t="array" ref="B39">Util_showFormula(C39)</f>
        <v>=RSA_Encrypt(C34,C7,C35,C36,C37)</v>
      </c>
      <c r="C39" t="str" cm="1">
        <f t="array" ref="C39">RSA_Encrypt(C34,C7,C35,C36,C37)</f>
        <v>6329ECBA2A9BC6D665EF89BA615A34145AF3DCD9FACDA753FB143EE455F1073740819EC6D56329035A4504B748438189BDD11C9D893C03557069FF794B6463761D412139BFEC790DAE1A1F874BE9F819889AB8BB4C230A82863E0D1583A76BD96B8E0E3498116471E981E2F190E934026FDF1D105CC59AED870CABDA79F6E9F2D02C738E02A24505E1D2FC8C87BF4D6272E5521EF3434FBC9F02E7C62BC65447ADD16ADE7516104B49DEABEEA77EEE16EF7BC807F393EE055CC3AED09EA112A6FC1685714A794853217DFC86F031A7F7D608CC768664A56299B0DE7D05E43012157F2E827C1FC756EB8C3A21D6AD039B19FAB46009639669BE3788B4E7B73D7C</v>
      </c>
    </row>
    <row r="40" spans="1:3">
      <c r="A40" t="s">
        <v>336</v>
      </c>
      <c r="B40" t="str" cm="1">
        <f t="array" ref="B40">Util_showFormula(C40)</f>
        <v>=Util_HexStrToBase64(C39)</v>
      </c>
      <c r="C40" t="str" cm="1">
        <f t="array" ref="C40">Util_HexStrToBase64(C39)</f>
        <v>YynsuiqbxtZl74m6YVo0FFrz3Nn6zadT+xQ+5FXxBzdAgZ7G1WMpA1pFBLdIQ4GJ_x000D_
vdEcnYk8A1Vwaf95S2Rjdh1BITm/7HkNrhofh0vp+BmImri7TCMKgoY+DRWDp2vZ_x000D_
a44ONJgRZHHpgeLxkOk0Am/fHRBcxZrthwyr2nn26fLQLHOOAqJFBeHS/IyHv01i_x000D_
cuVSHvNDT7yfAufGK8ZUR63Rat51FhBLSd6r7qd+7hbve8gH85PuBVzDrtCeoRKm_x000D_
/BaFcUp5SFMhffyG8DGn99YIzHaGZKVimbDefQXkMBIVfy6CfB/HVuuMOiHWrQOb_x000D_
Gfq0YAljlmm+N4i057c9fA==</v>
      </c>
    </row>
    <row r="42" spans="1:3">
      <c r="A42" t="s">
        <v>294</v>
      </c>
    </row>
    <row r="43" spans="1:3">
      <c r="A43" t="s">
        <v>338</v>
      </c>
      <c r="B43" t="str" cm="1">
        <f t="array" ref="B43">Util_showFormula(C43)</f>
        <v>=C10</v>
      </c>
      <c r="C43" t="str">
        <f>C10</f>
        <v>V5JDW/JylE6ZK58u</v>
      </c>
    </row>
    <row r="44" spans="1:3">
      <c r="A44" t="str">
        <f>A18</f>
        <v>AdvanceBobEncrypted.Base64</v>
      </c>
      <c r="B44" t="str" cm="1">
        <f t="array" ref="B44">Util_showFormula(C44)</f>
        <v>=C18</v>
      </c>
      <c r="C44" t="str">
        <f>C18</f>
        <v>dU2U/FppIOp+H/BsXK2GhWa+OMld+8ugf9hglI3bA8N0KIe1gCIjrRqIlmHbQJ7f</v>
      </c>
    </row>
    <row r="45" spans="1:3">
      <c r="A45" t="str">
        <f>A31</f>
        <v>AdvancedBobSignatureBase64</v>
      </c>
      <c r="B45" t="str" cm="1">
        <f t="array" ref="B45">Util_showFormula(C45)</f>
        <v>=C31</v>
      </c>
      <c r="C45" t="str">
        <f>C31</f>
        <v>d4PUSXZjWx+0DwShWa29FKQzgqb8ur6oaFfHEt0rsnjTkDlIiGbhiOOqpzEsdtUe_x000D_
LuKFHNW9Vtx8M1QhmkvoKMjVBU4i5JaOgpr2wHuW+O+QeF3Zc4wZWHBB9i/hjomH_x000D_
Mlm5MgIZwlzDXCpVO2r62IN+3Xv3BPjDkdyRdMgE5DT/bR4GUGG2DZh9PC3VpIwC_x000D_
Q+1u+8/2bQpD/ZKYzfcQHyarqp4lRdhtHjyJz19cFPazedX8lupzqSkM/TXnxFjn_x000D_
VDBvf64/wWISvhPizr74paOgsACXCDzhp9fuRwscyTVZSabmJ4V5Z5Cy43OO24C8_x000D_
mfq+IfN1ORPJXkF800FKPw==</v>
      </c>
    </row>
    <row r="46" spans="1:3">
      <c r="A46" t="str">
        <f>A38</f>
        <v>AdvancedBobOAEPPad.base64</v>
      </c>
      <c r="B46" t="str" cm="1">
        <f t="array" ref="B46">Util_showFormula(C46)</f>
        <v>=C38</v>
      </c>
      <c r="C46" t="str">
        <f>C38</f>
        <v>QWxpY2U=</v>
      </c>
    </row>
    <row r="47" spans="1:3">
      <c r="A47" t="str">
        <f>A40</f>
        <v>AdvancedBobEncryptedKeyBase64</v>
      </c>
      <c r="B47" t="str" cm="1">
        <f t="array" ref="B47">Util_showFormula(C47)</f>
        <v>=C40</v>
      </c>
      <c r="C47" t="str">
        <f>C40</f>
        <v>YynsuiqbxtZl74m6YVo0FFrz3Nn6zadT+xQ+5FXxBzdAgZ7G1WMpA1pFBLdIQ4GJ_x000D_
vdEcnYk8A1Vwaf95S2Rjdh1BITm/7HkNrhofh0vp+BmImri7TCMKgoY+DRWDp2vZ_x000D_
a44ONJgRZHHpgeLxkOk0Am/fHRBcxZrthwyr2nn26fLQLHOOAqJFBeHS/IyHv01i_x000D_
cuVSHvNDT7yfAufGK8ZUR63Rat51FhBLSd6r7qd+7hbve8gH85PuBVzDrtCeoRKm_x000D_
/BaFcUp5SFMhffyG8DGn99YIzHaGZKVimbDefQXkMBIVfy6CfB/HVuuMOiHWrQOb_x000D_
Gfq0YAljlmm+N4i057c9fA==</v>
      </c>
    </row>
    <row r="52" spans="1:3">
      <c r="A52" t="s">
        <v>297</v>
      </c>
    </row>
    <row r="60" spans="1:3">
      <c r="A60" t="s">
        <v>414</v>
      </c>
    </row>
    <row r="64" spans="1:3">
      <c r="A64" t="s">
        <v>340</v>
      </c>
      <c r="C64" t="s">
        <v>415</v>
      </c>
    </row>
    <row r="65" spans="1:3">
      <c r="A65" t="s">
        <v>341</v>
      </c>
      <c r="C65" t="s">
        <v>416</v>
      </c>
    </row>
    <row r="66" spans="1:3">
      <c r="A66" t="s">
        <v>345</v>
      </c>
      <c r="C66" t="s">
        <v>344</v>
      </c>
    </row>
    <row r="67" spans="1:3">
      <c r="A67" t="s">
        <v>342</v>
      </c>
      <c r="C67" t="s">
        <v>417</v>
      </c>
    </row>
    <row r="68" spans="1:3">
      <c r="A68" t="s">
        <v>343</v>
      </c>
      <c r="C68" t="s">
        <v>346</v>
      </c>
    </row>
    <row r="70" spans="1:3">
      <c r="A70" s="13"/>
    </row>
    <row r="72" spans="1:3">
      <c r="A72" t="s">
        <v>306</v>
      </c>
    </row>
    <row r="73" spans="1:3">
      <c r="A73" t="s">
        <v>264</v>
      </c>
      <c r="B73" t="str" cm="1">
        <f t="array" ref="B73">Util_showFormula(C73)</f>
        <v>=VLOOKUP(A73,Keys,2,FALSE)</v>
      </c>
      <c r="C73" t="str">
        <f>VLOOKUP(A73,Keys,2,FALSE)</f>
        <v>-----BEGIN PRIVATE KEY-----MIIEvgIBADANBgkqhkiG9w0BAQEFAASCBKgwggSkAgEAAoIBAQD0BSXsTtCGKOwiPiAjk+aBXaiyWMpRHGPIGMHVT7rv10FNIVyG+xW3a9ZRgwnmkMheQzQ38zRUspogPLs/Us9Q2TbzxPfz0IWVGW9IgjKtzfrZ+n4AYX+RkYqzJRCBdrg+SpWg+NdAZBs8qYbgT7oD3vPQCUST0xXrr2tIRBesWrFrxipXLecjkf6xUML+EOEi/0nirAQhBePBmJz9w34ZT+TqrkcyWhYAuzboujhwGCUndx5qSa+8Im2z3iuPddnIhQX2/02jGW9vZMn1+83jBNVOqWe3XWDe4YU9Zg9cFvyvqxluYmBxy1OjCLLhAZ9ZUZ91ltWq8rgLKleeEgOBAgMBAAECggEBAN7qeQtXsHxuk9BwSnHV4aPaSIqsPB4+vhSEMUZJcK87SAdK67jPVLZbx8xs1bWQG8qov+JAxVR+V/gNIs0lPAhSdjXYgN51ZiKfup5VejB2U6uffk2gw6XafAdNW7e5GXSmM+x6hkDnck5HW9Q8YOS6XqZ0YPZdxc+pT2sT8UBbTMCtIJ1XPZGj9uZR41Vt5ZMwHt5/QiTkkb2oTSzyq19JwGwUiIerqY1mAX7Zu8v4JigqWd4bbx11R/k8tAC/Tn9FQ4iGbm6dBb38208KHaBMMHOSURvH5FO3E9/W+0yT3VsJlfO+ptgB6vx0lwHmLIdefuFK1Fz9juCkSOERh4UCgYEA++FwSVUyiocgJl2a4Ounp426SgatBTMrEqWSZ0X2eQYdFLv49keC+76PIc4GjI5/eDrvPPW9FbbhPcxUApcFJQtAydFswAE8JoBf4+o3vJ4P5ZFz0tc8tqVgJ0mHuhEAE6nZM6nuAJfDovs/QoIPNGcO/N0SnxheS8gGiLpypuMCgYEA+ALMrYkWStuPfP2IZ67M8hELQ74W09ftuy1IMqR4Pyf3bNAqgYEzZi28G3I8IyPlYu0nJQBWyYXp4Ltnd8IXR+q3mjLG5EbX7PCQgkL4twxX4l56z7eXUbwECOudza1w7c7ZDjvsa7GB48K29MITpQ4MyDeJt8XT+Bl6ZAWTlUsCgYBrxVyu89YpMYHPCJQBErNsXJbNn6eeJvOSCefnaib4R2Zf/cGbVqOzpShG1Yk10K63ubetRJO/27zqHSgA568a14LEF2hJiv26l4jv0sJAYPz6Q87j8pYWrBHFHZAGS8nVoAHAOkAMXuMlNA0wHsf0qvfdt5WFHv8Ru6cYD3aI8wKBgGqzqaOvqyuhsuYvnhQdnIc41gPbMK8L43f4T2uaXzGs3EKwfNki4R5A5wFX8I+dzf710TWWI8CoIKtTdXyMwL9sOHnbBr8Hy7Zg+YtRjPgUE2uNAoGDl1LO9V1xIX9v83oc2D3LgjgDMsLu7w/2v8TveohZfKLYNg4zx/hofcppAoGBAPDRwd2CaDa3TeL5x4Q7AR7dg+wgxXbgvE5GjqU+xHtoKkyWUFhKW/YdcWW97/jUghnEXQCzO7UB4ZRdMUrW5CO8nmZzHxJmn5Tn0QxoLf6NAK9c3w6jnK9cFJ1c6Ff52QQC/RdzAFmTN6ja5zI8MaF132r2WYPoWWpGPVaIWLZg-----END PRIVATE KEY-----</v>
      </c>
    </row>
    <row r="74" spans="1:3">
      <c r="A74" t="s">
        <v>286</v>
      </c>
      <c r="B74" t="str" cm="1">
        <f t="array" ref="B74">Util_showFormula(C74)</f>
        <v>OAEP</v>
      </c>
      <c r="C74" t="s">
        <v>329</v>
      </c>
    </row>
    <row r="75" spans="1:3">
      <c r="A75" t="s">
        <v>330</v>
      </c>
      <c r="B75" t="str" cm="1">
        <f t="array" ref="B75">Util_showFormula(C75)</f>
        <v>SHA256</v>
      </c>
      <c r="C75" t="s">
        <v>186</v>
      </c>
    </row>
    <row r="76" spans="1:3">
      <c r="A76" t="s">
        <v>348</v>
      </c>
      <c r="B76" t="str" cm="1">
        <f t="array" ref="B76">Util_showFormula(C76)</f>
        <v>=util_Base64ToHexStr(C64)</v>
      </c>
      <c r="C76" t="str" cm="1">
        <f t="array" ref="C76">util_Base64ToHexStr(C64)</f>
        <v>E47FA61AC9EE9042F4BE79F84D7047B818E886C8C89CF0DE04927549CBF0D6A8040E595C28F1477C300FABF7C7387976F26043E0F76534E5540AA866514D9EE996C28EFD9A003EC053AF4CF18AB12065C8DDB3FB5A273B5EC17600E7E7CD7307B1ED92E3FD2CBEA1C63629663286820EC79D432AA4F45AB2D817197EA256BB340A0D9A16DABCD1EAC63140EA4796703F127BA43E8CF9AAC3BB65FAC39A8457C478E4B7632F05708B95BB83ED666111796F1C998A0CDE19334FDC013FB84300F5F3835EF4F9F4A902C844055181F9E31C280711372BF1552646FE0658A7317BAAE8938764700267D5446295A5BD0B583B05A13424EFE73D0F0397FBCFF923EF16</v>
      </c>
    </row>
    <row r="77" spans="1:3">
      <c r="A77" t="s">
        <v>347</v>
      </c>
      <c r="B77" t="str" cm="1">
        <f t="array" ref="B77">Util_showFormula(C77)</f>
        <v>=util_Base64ToHexStr(C66)</v>
      </c>
      <c r="C77" t="str" cm="1">
        <f t="array" ref="C77">util_Base64ToHexStr(C66)</f>
        <v>426F62</v>
      </c>
    </row>
    <row r="78" spans="1:3">
      <c r="A78" t="s">
        <v>351</v>
      </c>
      <c r="B78" t="str" cm="1">
        <f t="array" ref="B78">Util_showFormula(C78)</f>
        <v>=RSA_Decrypt(C73,C76,C74,C75,C77)</v>
      </c>
      <c r="C78" t="str" cm="1">
        <f t="array" ref="C78">RSA_Decrypt(C73,C76,C74,C75,C77)</f>
        <v>15E6EB4BFEE975C2C52261B7ADC698B17755486CB30687F20BBA253DA6B9BF4E</v>
      </c>
    </row>
    <row r="80" spans="1:3">
      <c r="A80" t="s">
        <v>352</v>
      </c>
      <c r="C80" s="14"/>
    </row>
    <row r="81" spans="1:3">
      <c r="A81" t="s">
        <v>353</v>
      </c>
      <c r="C81" t="str" cm="1">
        <f t="array" ref="C81">util_Base64ToHexStr(C65)</f>
        <v>35A31526CDDDFF4C15B431C3</v>
      </c>
    </row>
    <row r="82" spans="1:3">
      <c r="A82" t="s">
        <v>354</v>
      </c>
      <c r="C82" t="str" cm="1">
        <f t="array" ref="C82">util_Base64ToHexStr(C67)</f>
        <v>FCB057D8FD34A2C4CA48F61977BB8EA07C1201974401ED5E5E2020202FA7B03156DFB9DCF8D0D876E5020C34553F15ACFD39352D8F03FE46C8047D689CA5E1A34D388760106014E43011A8</v>
      </c>
    </row>
    <row r="83" spans="1:3">
      <c r="A83" t="s">
        <v>3</v>
      </c>
      <c r="C83" t="s">
        <v>325</v>
      </c>
    </row>
    <row r="84" spans="1:3">
      <c r="A84" t="s">
        <v>355</v>
      </c>
      <c r="C84" t="str" cm="1">
        <f t="array" ref="C84">AES_Decrypt(C78,C82,C83,C81,12)</f>
        <v>476F6F642069646561202D2066756E20776974682067636D20616E64206F6165702077696C6C20636F6D6520666F722064696E6E6572206174203720706D0A</v>
      </c>
    </row>
    <row r="85" spans="1:3">
      <c r="A85" t="s">
        <v>356</v>
      </c>
      <c r="C85" t="str" cm="1">
        <f t="array" ref="C85">Util_hexStrToAscii(C84)</f>
        <v xml:space="preserve">Good idea - fun with gcm and oaep will come for dinner at 7 pm
</v>
      </c>
    </row>
    <row r="87" spans="1:3">
      <c r="A87" t="s">
        <v>314</v>
      </c>
    </row>
    <row r="88" spans="1:3">
      <c r="A88" t="s">
        <v>315</v>
      </c>
      <c r="B88" t="str" cm="1">
        <f t="array" ref="B88">Util_showFormula(C88)</f>
        <v>SHA256</v>
      </c>
      <c r="C88" t="s">
        <v>186</v>
      </c>
    </row>
    <row r="89" spans="1:3">
      <c r="A89" t="s">
        <v>187</v>
      </c>
      <c r="B89" t="str" cm="1">
        <f t="array" ref="B89">Util_showFormula(C89)</f>
        <v>=Hash_Calculate(C88,C84)</v>
      </c>
      <c r="C89" t="str" cm="1">
        <f t="array" ref="C89">Hash_Calculate(C88,C84)</f>
        <v>A1D5C19DE489B925977DB1F6D7412BC3465783CBCE98DFA57102D2C72F31AB16</v>
      </c>
    </row>
    <row r="90" spans="1:3">
      <c r="A90" t="s">
        <v>316</v>
      </c>
      <c r="B90" t="str" cm="1">
        <f t="array" ref="B90">Util_showFormula(C90)</f>
        <v>=util_Base64ToHexStr(C68)</v>
      </c>
      <c r="C90" t="str" cm="1">
        <f t="array" ref="C90">util_Base64ToHexStr(C68)</f>
        <v>73896CFFCE4D4A1CBC1E14200FE8EC0C8262FCC68045A7F2D974CF6506186213D7B046BDC27CCA530B0C5B1AE10A5D92722A477EC9B21791E7243377A940EC307B17C2FAC2F09F263EF1CD9F216E4A5B09CD20C7B691A63A2FED99E91ACF5E804CEFC6B09D4326F736BF97FFFD70F07F48DAD67792C80B50ABEE8E387E7A6F7AFE075449688956F7E4DC4E958E75F74A8C5D4B2E9F69B74C926C688B9D53DF91433781D2292BE9FF4DDB8ED9F796DCA1A14F9E27A17068970AB1D4BE70C7821787D26A1F97EBE6D0801C752461C527BDD543E6C14018312F10F85B5AF3D53DD04789B4776A412E8DBC789C360F3280ABC36EBFF95A36392CC14D9D4042BAAF05</v>
      </c>
    </row>
    <row r="91" spans="1:3">
      <c r="A91" t="s">
        <v>261</v>
      </c>
      <c r="B91" t="str" cm="1">
        <f t="array" ref="B91">Util_showFormula(C91)</f>
        <v>=VLOOKUP(A91,Keys,2,FALSE)</v>
      </c>
      <c r="C91" t="str">
        <f>VLOOKUP(A91,Keys,2,FALSE)</f>
        <v>-----BEGIN PUBLIC KEY-----MIIBIjANBgkqhkiG9w0BAQEFAAOCAQ8AMIIBCgKCAQEAowEAssi1xLGgl3Mrttp/F/Fcv3wR7teT8OEcgWp68cs9ySyEhtx3cjvnXoVDJDXLC1DO/DIKiJunqyQVoOUR6l/k+OKgqNFgcRPy3g/8SpYp/VY4w5oaWx+4nB42Fww8d8spjkW9h6vM9cfzaTjWJMZgsxLDA+6K/mPNG50sUYPZX+PxqAVQTzWqYbJCeelJGH9wiWgVPC7RqE+NFqKeT1HVfplvOquwyBhVLYuph8poNle+Op3xBb0yjqb28m58tu0T6JJHRpm58ZFGCMTjE9rfztmsQlJfOm8tEi4dl8zKqxKcI9zqBikKUepPYLLdsviE/PTF5w4zZtkaHQ/2XwIDAQAB-----END PUBLIC KEY-----</v>
      </c>
    </row>
    <row r="92" spans="1:3">
      <c r="A92" t="s">
        <v>190</v>
      </c>
      <c r="B92" t="str" cm="1">
        <f t="array" ref="B92">Util_showFormula(C92)</f>
        <v>=RSA_VerifySignature(C91,C89,C90,C88,"OK")</v>
      </c>
      <c r="C92" t="str" cm="1">
        <f t="array" ref="C92">RSA_VerifySignature(C91,C89,C90,C88,"OK")</f>
        <v>OK</v>
      </c>
    </row>
    <row r="99" spans="3:3">
      <c r="C99" s="14"/>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DA80F-6725-43A2-8D0D-C27541B51D6B}">
  <sheetPr codeName="Sheet10"/>
  <dimension ref="A1:I73"/>
  <sheetViews>
    <sheetView workbookViewId="0"/>
  </sheetViews>
  <sheetFormatPr defaultRowHeight="14.4"/>
  <cols>
    <col min="1" max="1" width="28.6640625" customWidth="1"/>
    <col min="2" max="2" width="29.88671875" customWidth="1"/>
  </cols>
  <sheetData>
    <row r="1" spans="1:9">
      <c r="A1" t="s">
        <v>431</v>
      </c>
    </row>
    <row r="2" spans="1:9">
      <c r="A2" t="s">
        <v>442</v>
      </c>
      <c r="I2" t="str" cm="1">
        <f t="array" ref="I2">Util_AsciiToHexStr("AliceBob")</f>
        <v>416C696365426F62</v>
      </c>
    </row>
    <row r="4" spans="1:9">
      <c r="A4" t="s">
        <v>434</v>
      </c>
    </row>
    <row r="5" spans="1:9">
      <c r="A5" t="s">
        <v>203</v>
      </c>
      <c r="B5" t="str" cm="1">
        <f t="array" ref="B5">Util_showFormula(C5)</f>
        <v>=VLOOKUP(A5,Keys,2,FALSE)</v>
      </c>
      <c r="C5" t="str">
        <f>VLOOKUP(A5,Keys,2,FALSE)</f>
        <v>-----BEGIN PUBLIC KEY-----MFkwEwYHKoZIzj0CAQYIKoZIzj0DAQcDQgAEdlDsUIpBcMsRcjYeW9wmo9YKFSsfLRg0TGlm2uUMenxxGRiiKKF/BB18TO06cZJ92HGbnEdfh9Rygd3o5XaUlg==-----END PUBLIC KEY-----</v>
      </c>
    </row>
    <row r="6" spans="1:9">
      <c r="A6" t="s">
        <v>206</v>
      </c>
      <c r="B6" t="str" cm="1">
        <f t="array" ref="B6">Util_showFormula(C6)</f>
        <v>=VLOOKUP(A6,Keys,2,FALSE)</v>
      </c>
      <c r="C6" t="str">
        <f>VLOOKUP(A6,Keys,2,FALSE)</f>
        <v>-----BEGIN EC PRIVATE KEY-----MHcCAQEEIAlB93bN6RnTwuYebq9AIEUYTWLCQR20FKG/Jy9gCMrcoAoGCCqGSM49AwEHoUQDQgAEkerBdkk6Lw/+77HVzmcVOZsZgXoH1qmeEZb+cQUwg6bUihbEFQrIRSaIf/VQNUDqNZGFzdTOeNoEzVlbyrLPcw==-----END EC PRIVATE KEY-----</v>
      </c>
    </row>
    <row r="7" spans="1:9">
      <c r="A7" t="s">
        <v>433</v>
      </c>
      <c r="B7" t="str" cm="1">
        <f t="array" ref="B7">Util_showFormula(C7)</f>
        <v>HASH</v>
      </c>
      <c r="C7" t="s">
        <v>384</v>
      </c>
    </row>
    <row r="8" spans="1:9">
      <c r="A8" t="s">
        <v>315</v>
      </c>
      <c r="B8" t="str" cm="1">
        <f t="array" ref="B8">Util_showFormula(C8)</f>
        <v>SHA256</v>
      </c>
      <c r="C8" t="s">
        <v>186</v>
      </c>
    </row>
    <row r="9" spans="1:9">
      <c r="A9" t="s">
        <v>92</v>
      </c>
      <c r="B9" t="str" cm="1">
        <f t="array" ref="B9">Util_showFormula(C9)</f>
        <v>="00000001"</v>
      </c>
      <c r="C9" t="str">
        <f>"00000001"</f>
        <v>00000001</v>
      </c>
    </row>
    <row r="10" spans="1:9">
      <c r="A10" t="s">
        <v>91</v>
      </c>
      <c r="B10" t="str" cm="1">
        <f t="array" ref="B10">Util_showFormula(C10)</f>
        <v>=I2</v>
      </c>
      <c r="C10" t="str">
        <f>I2</f>
        <v>416C696365426F62</v>
      </c>
    </row>
    <row r="11" spans="1:9">
      <c r="A11" t="s">
        <v>435</v>
      </c>
      <c r="B11" t="str" cm="1">
        <f t="array" ref="B11">Util_showFormula(C11)</f>
        <v>=EC_DeriveSharedSecret(C5,C6,C7,C8,C9,C10)</v>
      </c>
      <c r="C11" t="str" cm="1">
        <f t="array" ref="C11">EC_DeriveSharedSecret(C5,C6,C7,C8,C9,C10)</f>
        <v>479E0D7DB701F3638A948A174104C71665A9FE1EAB623C302A797DB292D0F5EB</v>
      </c>
    </row>
    <row r="13" spans="1:9">
      <c r="A13" t="s">
        <v>438</v>
      </c>
    </row>
    <row r="14" spans="1:9">
      <c r="A14" t="s">
        <v>436</v>
      </c>
      <c r="C14" t="s">
        <v>432</v>
      </c>
    </row>
    <row r="16" spans="1:9">
      <c r="A16" t="s">
        <v>437</v>
      </c>
      <c r="B16" t="str" cm="1">
        <f t="array" ref="B16">Util_showFormula(C16)</f>
        <v>=Util_AsciiToHexStr(C14)</v>
      </c>
      <c r="C16" t="str" cm="1">
        <f t="array" ref="C16">Util_AsciiToHexStr(C14)</f>
        <v>486920206966207468697320454320737475666620776F726B73207468656E20686F772061626F75742064696E6E657220746F6E69676874203F</v>
      </c>
    </row>
    <row r="17" spans="1:3">
      <c r="A17" t="s">
        <v>440</v>
      </c>
      <c r="B17" t="str" cm="1">
        <f t="array" ref="B17">Util_showFormula(C17)</f>
        <v>CBC</v>
      </c>
      <c r="C17" t="s">
        <v>4</v>
      </c>
    </row>
    <row r="18" spans="1:3">
      <c r="A18" t="s">
        <v>2</v>
      </c>
      <c r="B18" t="str" cm="1">
        <f t="array" ref="B18">Util_showFormula(C18)</f>
        <v>=Util_GenRandom(16)</v>
      </c>
      <c r="C18" t="str" cm="1">
        <f t="array" ref="C18">Util_GenRandom(16)</f>
        <v>60FEB80999524584A3FB372C79871DBB</v>
      </c>
    </row>
    <row r="19" spans="1:3">
      <c r="A19" t="s">
        <v>439</v>
      </c>
      <c r="B19" t="str" cm="1">
        <f t="array" ref="B19">Util_showFormula(C19)</f>
        <v>=AES_Encrypt(C11,C16,C17,C18)</v>
      </c>
      <c r="C19" t="str" cm="1">
        <f t="array" ref="C19">AES_Encrypt(C11,C16,C17,C18)</f>
        <v>C307189F5BF33EF29267A55A90D8E567DE7C5094A8FD50DC6CE52A86A559BE08C2A76B6E392856C8814DEDE9CCE58D280893DC739F77744EC768AC6164E4A102</v>
      </c>
    </row>
    <row r="21" spans="1:3">
      <c r="A21" t="s">
        <v>446</v>
      </c>
    </row>
    <row r="23" spans="1:3">
      <c r="A23" t="s">
        <v>0</v>
      </c>
      <c r="B23" t="str" cm="1">
        <f t="array" ref="B23">Util_showFormula(C23)</f>
        <v>=C16</v>
      </c>
      <c r="C23" t="str">
        <f>C16</f>
        <v>486920206966207468697320454320737475666620776F726B73207468656E20686F772061626F75742064696E6E657220746F6E69676874203F</v>
      </c>
    </row>
    <row r="24" spans="1:3">
      <c r="A24" t="s">
        <v>315</v>
      </c>
      <c r="B24" t="str" cm="1">
        <f t="array" ref="B24">Util_showFormula(C24)</f>
        <v>SHA256</v>
      </c>
      <c r="C24" t="s">
        <v>186</v>
      </c>
    </row>
    <row r="25" spans="1:3">
      <c r="A25" t="s">
        <v>206</v>
      </c>
      <c r="B25" t="str" cm="1">
        <f t="array" ref="B25">Util_showFormula(C25)</f>
        <v>=VLOOKUP(A25,Keys,2,FALSE)</v>
      </c>
      <c r="C25" t="str">
        <f>VLOOKUP(A25,Keys,2,FALSE)</f>
        <v>-----BEGIN EC PRIVATE KEY-----MHcCAQEEIAlB93bN6RnTwuYebq9AIEUYTWLCQR20FKG/Jy9gCMrcoAoGCCqGSM49AwEHoUQDQgAEkerBdkk6Lw/+77HVzmcVOZsZgXoH1qmeEZb+cQUwg6bUihbEFQrIRSaIf/VQNUDqNZGFzdTOeNoEzVlbyrLPcw==-----END EC PRIVATE KEY-----</v>
      </c>
    </row>
    <row r="26" spans="1:3">
      <c r="A26" t="s">
        <v>187</v>
      </c>
      <c r="B26" t="str" cm="1">
        <f t="array" ref="B26">Util_showFormula(C26)</f>
        <v>=Hash_Calculate(C24,C23)</v>
      </c>
      <c r="C26" t="str" cm="1">
        <f t="array" ref="C26">Hash_Calculate(C24,C23)</f>
        <v>AFCE50B1CBE4BB6B819A9C81D7BA6DF8F22091BF49523001C05F57309BC34942</v>
      </c>
    </row>
    <row r="27" spans="1:3">
      <c r="A27" t="s">
        <v>410</v>
      </c>
      <c r="B27" t="str" cm="1">
        <f t="array" ref="B27">Util_showFormula(C27)</f>
        <v>DER</v>
      </c>
      <c r="C27" t="s">
        <v>404</v>
      </c>
    </row>
    <row r="28" spans="1:3">
      <c r="A28" t="s">
        <v>412</v>
      </c>
      <c r="B28" t="str" cm="1">
        <f t="array" ref="B28">Util_showFormula(C28)</f>
        <v>=EC_SignHash(C25,C26,C27)</v>
      </c>
      <c r="C28" t="str" cm="1">
        <f t="array" ref="C28">EC_SignHash(C25,C26,C27)</f>
        <v>3044022038A1EE23AAAD227ECB031E1BA897D36F3E33B2913BC37A04541530399B3AF96702202744F118BEBD44ACD293EC4372B1F6FC3CC28F1DD19EBD3D85AF0BAB821D1450</v>
      </c>
    </row>
    <row r="33" spans="1:3">
      <c r="A33" t="s">
        <v>441</v>
      </c>
    </row>
    <row r="34" spans="1:3">
      <c r="A34" t="s">
        <v>443</v>
      </c>
      <c r="B34" t="str" cm="1">
        <f t="array" ref="B34">Util_showFormula(C34)</f>
        <v>=Util_HexStrToBase64(C10)</v>
      </c>
      <c r="C34" t="str" cm="1">
        <f t="array" ref="C34">Util_HexStrToBase64(C10)</f>
        <v>QWxpY2VCb2I=</v>
      </c>
    </row>
    <row r="35" spans="1:3">
      <c r="A35" t="s">
        <v>445</v>
      </c>
      <c r="B35" t="str" cm="1">
        <f t="array" ref="B35">Util_showFormula(C35)</f>
        <v>=Util_HexStrToBase64(C19)</v>
      </c>
      <c r="C35" t="str" cm="1">
        <f t="array" ref="C35">Util_HexStrToBase64(C19)</f>
        <v>wwcYn1vzPvKSZ6VakNjlZ958UJSo/VDcbOUqhqVZvgjCp2tuOShWyIFN7enM5Y0o_x000D_
CJPcc593dE7HaKxhZOShAg==</v>
      </c>
    </row>
    <row r="36" spans="1:3">
      <c r="A36" t="s">
        <v>444</v>
      </c>
      <c r="B36" t="str" cm="1">
        <f t="array" ref="B36">Util_showFormula(C36)</f>
        <v>=Util_HexStrToBase64(C18)</v>
      </c>
      <c r="C36" t="str" cm="1">
        <f t="array" ref="C36">Util_HexStrToBase64(C18)</f>
        <v>YP64CZlSRYSj+zcseYcduw==</v>
      </c>
    </row>
    <row r="37" spans="1:3">
      <c r="A37" t="s">
        <v>447</v>
      </c>
      <c r="B37" t="str" cm="1">
        <f t="array" ref="B37">Util_showFormula(C37)</f>
        <v>=Util_HexStrToBase64(C28)</v>
      </c>
      <c r="C37" t="str" cm="1">
        <f t="array" ref="C37">Util_HexStrToBase64(C28)</f>
        <v>MEQCIDih7iOqrSJ+ywMeG6iX028+M7KRO8N6BFQVMDmbOvlnAiAnRPEYvr1ErNKT_x000D_
7ENysfb8PMKPHdGevT2Frwurgh0UUA==</v>
      </c>
    </row>
    <row r="39" spans="1:3">
      <c r="A39" t="s">
        <v>448</v>
      </c>
    </row>
    <row r="41" spans="1:3">
      <c r="A41" t="s">
        <v>450</v>
      </c>
      <c r="C41" t="s">
        <v>449</v>
      </c>
    </row>
    <row r="42" spans="1:3">
      <c r="A42" t="s">
        <v>454</v>
      </c>
      <c r="C42" t="s">
        <v>453</v>
      </c>
    </row>
    <row r="43" spans="1:3">
      <c r="A43" t="s">
        <v>452</v>
      </c>
      <c r="C43" t="s">
        <v>451</v>
      </c>
    </row>
    <row r="44" spans="1:3">
      <c r="A44" t="s">
        <v>455</v>
      </c>
      <c r="C44" t="s">
        <v>456</v>
      </c>
    </row>
    <row r="47" spans="1:3">
      <c r="A47" t="s">
        <v>457</v>
      </c>
    </row>
    <row r="48" spans="1:3">
      <c r="A48" t="s">
        <v>203</v>
      </c>
      <c r="B48" t="str" cm="1">
        <f t="array" ref="B48">Util_showFormula(C48)</f>
        <v>=VLOOKUP(A48,Keys,2,FALSE)</v>
      </c>
      <c r="C48" t="str">
        <f>VLOOKUP(A48,Keys,2,FALSE)</f>
        <v>-----BEGIN PUBLIC KEY-----MFkwEwYHKoZIzj0CAQYIKoZIzj0DAQcDQgAEdlDsUIpBcMsRcjYeW9wmo9YKFSsfLRg0TGlm2uUMenxxGRiiKKF/BB18TO06cZJ92HGbnEdfh9Rygd3o5XaUlg==-----END PUBLIC KEY-----</v>
      </c>
    </row>
    <row r="49" spans="1:3">
      <c r="A49" t="s">
        <v>206</v>
      </c>
      <c r="B49" t="str" cm="1">
        <f t="array" ref="B49">Util_showFormula(C49)</f>
        <v>=VLOOKUP(A49,Keys,2,FALSE)</v>
      </c>
      <c r="C49" t="str">
        <f>VLOOKUP(A49,Keys,2,FALSE)</f>
        <v>-----BEGIN EC PRIVATE KEY-----MHcCAQEEIAlB93bN6RnTwuYebq9AIEUYTWLCQR20FKG/Jy9gCMrcoAoGCCqGSM49AwEHoUQDQgAEkerBdkk6Lw/+77HVzmcVOZsZgXoH1qmeEZb+cQUwg6bUihbEFQrIRSaIf/VQNUDqNZGFzdTOeNoEzVlbyrLPcw==-----END EC PRIVATE KEY-----</v>
      </c>
    </row>
    <row r="50" spans="1:3">
      <c r="A50" t="s">
        <v>433</v>
      </c>
      <c r="B50" t="str" cm="1">
        <f t="array" ref="B50">Util_showFormula(C50)</f>
        <v>HASH</v>
      </c>
      <c r="C50" t="s">
        <v>384</v>
      </c>
    </row>
    <row r="51" spans="1:3">
      <c r="A51" t="s">
        <v>315</v>
      </c>
      <c r="B51" t="str" cm="1">
        <f t="array" ref="B51">Util_showFormula(C51)</f>
        <v>SHA256</v>
      </c>
      <c r="C51" t="s">
        <v>186</v>
      </c>
    </row>
    <row r="52" spans="1:3">
      <c r="A52" t="s">
        <v>92</v>
      </c>
      <c r="B52" t="str" cm="1">
        <f t="array" ref="B52">Util_showFormula(C52)</f>
        <v>="00000001"</v>
      </c>
      <c r="C52" t="str">
        <f>"00000001"</f>
        <v>00000001</v>
      </c>
    </row>
    <row r="53" spans="1:3">
      <c r="A53" t="s">
        <v>91</v>
      </c>
      <c r="B53" t="str" cm="1">
        <f t="array" ref="B53">Util_showFormula(C53)</f>
        <v>=util_Base64ToHexStr(C41)</v>
      </c>
      <c r="C53" t="str" cm="1">
        <f t="array" ref="C53">util_Base64ToHexStr(C41)</f>
        <v>426F62416C6963650A</v>
      </c>
    </row>
    <row r="54" spans="1:3">
      <c r="A54" t="s">
        <v>458</v>
      </c>
      <c r="B54" t="str" cm="1">
        <f t="array" ref="B54">Util_showFormula(C54)</f>
        <v>=EC_DeriveSharedSecret(C48,C49,C50,C51,C52,C53)</v>
      </c>
      <c r="C54" t="str" cm="1">
        <f t="array" ref="C54">EC_DeriveSharedSecret(C48,C49,C50,C51,C52,C53)</f>
        <v>7B1313DCFC84807136DC75C808861362F3FC538BA5D8CAE0B17F0BBE4239B6DD</v>
      </c>
    </row>
    <row r="56" spans="1:3">
      <c r="A56" t="s">
        <v>459</v>
      </c>
    </row>
    <row r="58" spans="1:3">
      <c r="A58" t="s">
        <v>310</v>
      </c>
      <c r="B58" t="str" cm="1">
        <f t="array" ref="B58">Util_showFormula(C58)</f>
        <v>=util_Base64ToHexStr(C42)</v>
      </c>
      <c r="C58" t="str" cm="1">
        <f t="array" ref="C58">util_Base64ToHexStr(C42)</f>
        <v>C6009E911A7221DD5D629761A768835D3E758B7A15E95478FF7BC8029B13A94C16042A5C9BA93A6557DFC6B4E62D82C2FE6CB51B5F3786732F8D52E6FC06202B</v>
      </c>
    </row>
    <row r="59" spans="1:3">
      <c r="A59" t="s">
        <v>440</v>
      </c>
      <c r="B59" t="str" cm="1">
        <f t="array" ref="B59">Util_showFormula(C59)</f>
        <v>CBC</v>
      </c>
      <c r="C59" t="s">
        <v>4</v>
      </c>
    </row>
    <row r="60" spans="1:3">
      <c r="A60" t="s">
        <v>2</v>
      </c>
      <c r="B60" t="str" cm="1">
        <f t="array" ref="B60">Util_showFormula(C60)</f>
        <v>=util_Base64ToHexStr(C43)</v>
      </c>
      <c r="C60" t="str" cm="1">
        <f t="array" ref="C60">util_Base64ToHexStr(C43)</f>
        <v>9CDAE1854278B8FAF7739E6EA83D116B</v>
      </c>
    </row>
    <row r="61" spans="1:3">
      <c r="A61" t="s">
        <v>460</v>
      </c>
      <c r="B61" t="str" cm="1">
        <f t="array" ref="B61">Util_showFormula(C61)</f>
        <v>=AES_Decrypt(C54,C58,C59,C60)</v>
      </c>
      <c r="C61" t="str" cm="1">
        <f t="array" ref="C61">AES_Decrypt(C54,C58,C59,C60)</f>
        <v>486920426F622079657320454320776F726B65642077696C6C20636F6D6520666F722064696E6E6572206174203720706D0A</v>
      </c>
    </row>
    <row r="62" spans="1:3">
      <c r="A62" t="s">
        <v>461</v>
      </c>
      <c r="B62" t="str" cm="1">
        <f t="array" ref="B62">Util_showFormula(C62)</f>
        <v>=Util_hexStrToAscii(C61)</v>
      </c>
      <c r="C62" t="str" cm="1">
        <f t="array" ref="C62">Util_hexStrToAscii(C61)</f>
        <v xml:space="preserve">Hi Bob yes EC worked will come for dinner at 7 pm
</v>
      </c>
    </row>
    <row r="64" spans="1:3">
      <c r="A64" t="s">
        <v>462</v>
      </c>
    </row>
    <row r="66" spans="1:3">
      <c r="A66" t="s">
        <v>310</v>
      </c>
      <c r="B66" t="str" cm="1">
        <f t="array" ref="B66">Util_showFormula(C66)</f>
        <v>=C61</v>
      </c>
      <c r="C66" t="str">
        <f>C61</f>
        <v>486920426F622079657320454320776F726B65642077696C6C20636F6D6520666F722064696E6E6572206174203720706D0A</v>
      </c>
    </row>
    <row r="67" spans="1:3">
      <c r="A67" t="s">
        <v>315</v>
      </c>
      <c r="B67" t="str" cm="1">
        <f t="array" ref="B67">Util_showFormula(C67)</f>
        <v>SHA256</v>
      </c>
      <c r="C67" t="s">
        <v>186</v>
      </c>
    </row>
    <row r="68" spans="1:3">
      <c r="A68" t="s">
        <v>203</v>
      </c>
      <c r="B68" t="str" cm="1">
        <f t="array" ref="B68">Util_showFormula(C68)</f>
        <v>=VLOOKUP(A68,Keys,2,FALSE)</v>
      </c>
      <c r="C68" t="str">
        <f>VLOOKUP(A68,Keys,2,FALSE)</f>
        <v>-----BEGIN PUBLIC KEY-----MFkwEwYHKoZIzj0CAQYIKoZIzj0DAQcDQgAEdlDsUIpBcMsRcjYeW9wmo9YKFSsfLRg0TGlm2uUMenxxGRiiKKF/BB18TO06cZJ92HGbnEdfh9Rygd3o5XaUlg==-----END PUBLIC KEY-----</v>
      </c>
    </row>
    <row r="69" spans="1:3">
      <c r="A69" t="s">
        <v>187</v>
      </c>
      <c r="B69" t="str" cm="1">
        <f t="array" ref="B69">Util_showFormula(C69)</f>
        <v>=Hash_Calculate(C67,C66)</v>
      </c>
      <c r="C69" t="str" cm="1">
        <f t="array" ref="C69">Hash_Calculate(C67,C66)</f>
        <v>14049893637C8407217BBB1E7DFE8906EDEA2861414C4ACDB5A67C0B8AF8184C</v>
      </c>
    </row>
    <row r="70" spans="1:3">
      <c r="A70" t="s">
        <v>316</v>
      </c>
      <c r="B70" t="str" cm="1">
        <f t="array" ref="B70">Util_showFormula(C70)</f>
        <v>=util_Base64ToHexStr(C44)</v>
      </c>
      <c r="C70" t="str" cm="1">
        <f t="array" ref="C70">util_Base64ToHexStr(C44)</f>
        <v>3046022100D0BBFCD28289D2E157076228C3310F74C60FB75695F5D801EC6E06CFBA864C9E022100F017C4EE251665477D43EF6B6EAD41F72B337514C88A2F3A106BCC4ECBFA3C41</v>
      </c>
    </row>
    <row r="71" spans="1:3">
      <c r="A71" t="s">
        <v>409</v>
      </c>
      <c r="B71" t="str" cm="1">
        <f t="array" ref="B71">Util_showFormula(C71)</f>
        <v>DER</v>
      </c>
      <c r="C71" t="s">
        <v>404</v>
      </c>
    </row>
    <row r="72" spans="1:3">
      <c r="A72" t="s">
        <v>463</v>
      </c>
      <c r="B72" t="str" cm="1">
        <f t="array" ref="B72">Util_showFormula(C72)</f>
        <v>EC_VerifySignature found the mssage a being OK</v>
      </c>
      <c r="C72" t="s">
        <v>464</v>
      </c>
    </row>
    <row r="73" spans="1:3">
      <c r="A73" t="s">
        <v>465</v>
      </c>
      <c r="B73" t="str" cm="1">
        <f t="array" ref="B73">Util_showFormula(C73)</f>
        <v>=EC_VerifySignature(C68,C69,C70,C71,C72)</v>
      </c>
      <c r="C73" t="str" cm="1">
        <f t="array" ref="C73">EC_VerifySignature(C68,C69,C70,C71,C72)</f>
        <v>EC_VerifySignature found the mssage a being OK</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30"/>
  <sheetViews>
    <sheetView workbookViewId="0">
      <selection activeCell="B3" sqref="B3"/>
    </sheetView>
  </sheetViews>
  <sheetFormatPr defaultRowHeight="14.4"/>
  <cols>
    <col min="2" max="2" width="73.77734375" bestFit="1" customWidth="1"/>
    <col min="5" max="5" width="37" customWidth="1"/>
  </cols>
  <sheetData>
    <row r="1" spans="1:7">
      <c r="B1" s="3"/>
      <c r="C1" s="3"/>
      <c r="D1" s="3"/>
    </row>
    <row r="2" spans="1:7">
      <c r="A2" t="s">
        <v>3</v>
      </c>
      <c r="B2" s="7" t="s">
        <v>4</v>
      </c>
      <c r="C2" s="3"/>
      <c r="D2" s="3"/>
      <c r="E2" s="5" t="s">
        <v>9</v>
      </c>
    </row>
    <row r="3" spans="1:7">
      <c r="A3" t="s">
        <v>1</v>
      </c>
      <c r="B3" s="6" t="str">
        <f>E3</f>
        <v>2b7e151628aed2a6abf7158809cf4f3c</v>
      </c>
      <c r="C3" s="3">
        <f>LEN(B3)</f>
        <v>32</v>
      </c>
      <c r="D3" s="3"/>
      <c r="E3" s="5" t="s">
        <v>11</v>
      </c>
      <c r="F3" s="4" t="s">
        <v>10</v>
      </c>
    </row>
    <row r="4" spans="1:7">
      <c r="A4" t="s">
        <v>2</v>
      </c>
      <c r="B4" s="6" t="str">
        <f>E4</f>
        <v>000102030405060708090A0B0C0D0E0F</v>
      </c>
      <c r="C4" s="3">
        <f>LEN(B4)</f>
        <v>32</v>
      </c>
      <c r="D4" s="3"/>
      <c r="E4" s="5" t="s">
        <v>12</v>
      </c>
      <c r="F4" s="5" t="str">
        <f>E3</f>
        <v>2b7e151628aed2a6abf7158809cf4f3c</v>
      </c>
    </row>
    <row r="5" spans="1:7">
      <c r="A5" t="s">
        <v>0</v>
      </c>
      <c r="B5" s="6" t="str">
        <f>E5</f>
        <v>6bc1bee22e409f96e93d7e117393172a</v>
      </c>
      <c r="C5" s="3"/>
      <c r="D5" s="3"/>
      <c r="E5" s="5" t="s">
        <v>13</v>
      </c>
      <c r="F5" s="5" t="str">
        <f>E4</f>
        <v>000102030405060708090A0B0C0D0E0F</v>
      </c>
    </row>
    <row r="6" spans="1:7">
      <c r="A6" t="s">
        <v>15</v>
      </c>
      <c r="B6" s="7" t="str" cm="1">
        <f t="array" ref="B6">AES_Encrypt(B3,B5,B2,B4)</f>
        <v>7649ABAC8119B246CEE98E9B12E9197D8964E0B149C10B7B682E6E39AAEB731C</v>
      </c>
      <c r="C6" s="3">
        <f>LEN(B6)</f>
        <v>64</v>
      </c>
      <c r="D6" s="3"/>
      <c r="E6" s="5" t="s">
        <v>14</v>
      </c>
      <c r="F6" s="5" t="str">
        <f>E5</f>
        <v>6bc1bee22e409f96e93d7e117393172a</v>
      </c>
    </row>
    <row r="7" spans="1:7">
      <c r="A7" t="s">
        <v>8</v>
      </c>
      <c r="B7" s="7" t="str" cm="1">
        <f t="array" ref="B7">AES_Decrypt(B3,B6,B2,B4)</f>
        <v>6BC1BEE22E409F96E93D7E117393172A</v>
      </c>
      <c r="C7" s="3"/>
      <c r="D7" s="3"/>
      <c r="E7" s="3"/>
      <c r="F7" t="str">
        <f>E6</f>
        <v>7649abac8119b246cee98e9b12e9197d</v>
      </c>
      <c r="G7" t="s">
        <v>5</v>
      </c>
    </row>
    <row r="8" spans="1:7">
      <c r="B8" s="6"/>
      <c r="C8" s="3"/>
      <c r="D8" s="3"/>
      <c r="E8" s="3"/>
    </row>
    <row r="9" spans="1:7">
      <c r="C9" s="3"/>
      <c r="D9" s="3"/>
      <c r="E9" s="3"/>
    </row>
    <row r="10" spans="1:7">
      <c r="B10" s="3"/>
      <c r="C10" s="3"/>
      <c r="D10" s="3"/>
      <c r="E10" s="3"/>
      <c r="G10" t="s">
        <v>7</v>
      </c>
    </row>
    <row r="11" spans="1:7">
      <c r="A11" t="s">
        <v>0</v>
      </c>
      <c r="B11" s="3" t="str">
        <f>E11</f>
        <v>6bc1bee22e409f96e93d7e117393172a</v>
      </c>
      <c r="C11" s="3"/>
      <c r="D11" s="3"/>
      <c r="E11" s="5" t="s">
        <v>13</v>
      </c>
      <c r="G11" s="2" t="s">
        <v>6</v>
      </c>
    </row>
    <row r="12" spans="1:7">
      <c r="A12" t="s">
        <v>1</v>
      </c>
      <c r="B12" s="3" t="str">
        <f>E12</f>
        <v>2b7e151628aed2a6abf7158809cf4f3c</v>
      </c>
      <c r="C12" s="3"/>
      <c r="D12" s="3"/>
      <c r="E12" s="5" t="s">
        <v>11</v>
      </c>
    </row>
    <row r="13" spans="1:7">
      <c r="A13" t="s">
        <v>3</v>
      </c>
      <c r="B13" s="3" t="s">
        <v>4</v>
      </c>
      <c r="C13" s="3"/>
      <c r="D13" s="3"/>
    </row>
    <row r="14" spans="1:7">
      <c r="A14" t="s">
        <v>2</v>
      </c>
      <c r="B14" s="3" t="str">
        <f>E14</f>
        <v>000102030405060708090A0B0C0D0E0F</v>
      </c>
      <c r="C14" s="3"/>
      <c r="D14" s="3"/>
      <c r="E14" s="5" t="s">
        <v>12</v>
      </c>
      <c r="G14" s="2"/>
    </row>
    <row r="15" spans="1:7">
      <c r="A15" t="s">
        <v>15</v>
      </c>
      <c r="B15" s="3" t="str" cm="1">
        <f t="array" ref="B15">AES_Encrypt(B12,B11,B13,B14)</f>
        <v>7649ABAC8119B246CEE98E9B12E9197D8964E0B149C10B7B682E6E39AAEB731C</v>
      </c>
      <c r="C15" s="3"/>
      <c r="D15" s="3"/>
      <c r="E15" s="5" t="s">
        <v>14</v>
      </c>
      <c r="G15" s="2"/>
    </row>
    <row r="16" spans="1:7">
      <c r="A16" t="s">
        <v>8</v>
      </c>
      <c r="B16" s="3" t="str" cm="1">
        <f t="array" ref="B16">AES_Decrypt(B12,B15,B13,B14)</f>
        <v>6BC1BEE22E409F96E93D7E117393172A</v>
      </c>
      <c r="C16" s="3"/>
      <c r="D16" s="3"/>
      <c r="E16" s="3"/>
      <c r="G16" s="2"/>
    </row>
    <row r="17" spans="1:7">
      <c r="B17" s="3"/>
      <c r="C17" s="3"/>
      <c r="D17" s="3"/>
      <c r="E17" s="3"/>
      <c r="G17" s="2"/>
    </row>
    <row r="18" spans="1:7">
      <c r="A18" t="s">
        <v>3</v>
      </c>
      <c r="B18" s="3" t="s">
        <v>16</v>
      </c>
      <c r="G18" s="2"/>
    </row>
    <row r="19" spans="1:7">
      <c r="A19" t="s">
        <v>0</v>
      </c>
      <c r="B19" s="3" t="str">
        <f>B11</f>
        <v>6bc1bee22e409f96e93d7e117393172a</v>
      </c>
      <c r="G19" s="2"/>
    </row>
    <row r="20" spans="1:7">
      <c r="A20" t="s">
        <v>1</v>
      </c>
      <c r="B20" s="3" t="str">
        <f>B12</f>
        <v>2b7e151628aed2a6abf7158809cf4f3c</v>
      </c>
      <c r="G20" s="2"/>
    </row>
    <row r="21" spans="1:7">
      <c r="A21" t="s">
        <v>2</v>
      </c>
      <c r="B21" s="3" t="str">
        <f>B14</f>
        <v>000102030405060708090A0B0C0D0E0F</v>
      </c>
      <c r="G21" s="2"/>
    </row>
    <row r="22" spans="1:7">
      <c r="A22" t="s">
        <v>15</v>
      </c>
      <c r="B22" s="3" t="str" cm="1">
        <f t="array" ref="B22">AES_Encrypt(B20,B19,B18,B20)</f>
        <v>3AD77BB40D7A3660A89ECAF32466EF97A254BE88E037DDD9D79FB6411C3F9DF8</v>
      </c>
      <c r="G22" s="2"/>
    </row>
    <row r="23" spans="1:7">
      <c r="A23" t="s">
        <v>8</v>
      </c>
      <c r="B23" s="3" t="str" cm="1">
        <f t="array" ref="B23">AES_Decrypt(B20,B22,B18,B21)</f>
        <v>6BC1BEE22E409F96E93D7E117393172A</v>
      </c>
      <c r="E23">
        <f>D22</f>
        <v>0</v>
      </c>
      <c r="G23" s="2"/>
    </row>
    <row r="24" spans="1:7">
      <c r="G24" s="2"/>
    </row>
    <row r="25" spans="1:7">
      <c r="A25" t="s">
        <v>3</v>
      </c>
      <c r="B25" s="3" t="s">
        <v>16</v>
      </c>
      <c r="G25" s="2"/>
    </row>
    <row r="26" spans="1:7">
      <c r="A26" t="s">
        <v>0</v>
      </c>
      <c r="B26" s="3" t="str">
        <f>B19</f>
        <v>6bc1bee22e409f96e93d7e117393172a</v>
      </c>
      <c r="G26" s="2"/>
    </row>
    <row r="27" spans="1:7">
      <c r="A27" t="s">
        <v>1</v>
      </c>
      <c r="B27" s="3" t="str">
        <f>B19</f>
        <v>6bc1bee22e409f96e93d7e117393172a</v>
      </c>
      <c r="G27" s="1"/>
    </row>
    <row r="28" spans="1:7">
      <c r="A28" t="s">
        <v>2</v>
      </c>
      <c r="B28" s="3" t="str">
        <f>B21</f>
        <v>000102030405060708090A0B0C0D0E0F</v>
      </c>
      <c r="G28" s="2"/>
    </row>
    <row r="29" spans="1:7">
      <c r="A29" t="s">
        <v>232</v>
      </c>
      <c r="B29" s="3" t="str" cm="1">
        <f t="array" ref="B29">DES_Encrypt(B27,B26,B25,B27)</f>
        <v>D83CC5F9634983CC8D92FF5B4A8DAD34E5DFE1913DC62854</v>
      </c>
    </row>
    <row r="30" spans="1:7">
      <c r="A30" t="s">
        <v>233</v>
      </c>
      <c r="B30" s="3" t="str" cm="1">
        <f t="array" ref="B30">DES_decrypt(B27,B29,B25,B28)</f>
        <v>6BC1BEE22E409F96E93D7E117393172A</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06945-23F7-486D-8EFC-F824B12877ED}">
  <sheetPr codeName="Sheet4"/>
  <dimension ref="A1:K129"/>
  <sheetViews>
    <sheetView topLeftCell="A37" workbookViewId="0">
      <selection activeCell="A53" sqref="A53:A60"/>
    </sheetView>
  </sheetViews>
  <sheetFormatPr defaultRowHeight="14.4"/>
  <cols>
    <col min="1" max="1" width="34.6640625" customWidth="1"/>
    <col min="2" max="2" width="36.109375" customWidth="1"/>
    <col min="3" max="3" width="9.5546875" bestFit="1" customWidth="1"/>
  </cols>
  <sheetData>
    <row r="1" spans="1:3">
      <c r="A1" t="s">
        <v>261</v>
      </c>
      <c r="B1" t="str" cm="1">
        <f t="array" ref="B1">Util_showFormula(C1)</f>
        <v>=VLOOKUP(A1,Keys,2,FALSE)</v>
      </c>
      <c r="C1" t="str">
        <f>VLOOKUP(A1,Keys,2,FALSE)</f>
        <v>-----BEGIN PUBLIC KEY-----MIIBIjANBgkqhkiG9w0BAQEFAAOCAQ8AMIIBCgKCAQEAowEAssi1xLGgl3Mrttp/F/Fcv3wR7teT8OEcgWp68cs9ySyEhtx3cjvnXoVDJDXLC1DO/DIKiJunqyQVoOUR6l/k+OKgqNFgcRPy3g/8SpYp/VY4w5oaWx+4nB42Fww8d8spjkW9h6vM9cfzaTjWJMZgsxLDA+6K/mPNG50sUYPZX+PxqAVQTzWqYbJCeelJGH9wiWgVPC7RqE+NFqKeT1HVfplvOquwyBhVLYuph8poNle+Op3xBb0yjqb28m58tu0T6JJHRpm58ZFGCMTjE9rfztmsQlJfOm8tEi4dl8zKqxKcI9zqBikKUepPYLLdsviE/PTF5w4zZtkaHQ/2XwIDAQAB-----END PUBLIC KEY-----</v>
      </c>
    </row>
    <row r="2" spans="1:3">
      <c r="A2" t="s">
        <v>262</v>
      </c>
      <c r="B2" t="str" cm="1">
        <f t="array" ref="B2">Util_showFormula(C2)</f>
        <v>=VLOOKUP(A2,Keys,2,FALSE)</v>
      </c>
      <c r="C2" t="str">
        <f>VLOOKUP(A2,Keys,2,FALSE)</f>
        <v>-----BEGIN PRIVATE KEY-----MIIEvgIBADANBgkqhkiG9w0BAQEFAASCBKgwggSkAgEAAoIBAQCjAQCyyLXEsaCXcyu22n8X8Vy/fBHu15Pw4RyBanrxyz3JLISG3HdyO+dehUMkNcsLUM78MgqIm6erJBWg5RHqX+T44qCo0WBxE/LeD/xKlin9VjjDmhpbH7icHjYXDDx3yymORb2Hq8z1x/NpONYkxmCzEsMD7or+Y80bnSxRg9lf4/GoBVBPNaphskJ56UkYf3CJaBU8LtGoT40Wop5PUdV+mW86q7DIGFUti6mHymg2V746nfEFvTKOpvbybny27RPokkdGmbnxkUYIxOMT2t/O2axCUl86by0SLh2XzMqrEpwj3OoGKQpR6k9gst2y+IT89MXnDjNm2RodD/ZfAgMBAAECggEBAIcDTpvHSV9pLTYkrAGhywF+5q6oSoZFQ4GSQ7UiCEF8cWnPGNpHhBw3Z/XPdYRplguCXF9h532tR9ymX8/LzOIPma1YsXADNNmUh2bNYNA6vv7aStwhKVFu3c9Z6r1+YhtrSLlSJKFaeMLfYks2S5FcSz4n/SWlkLUS3xHPRqUguQhNaz2wokQG0gYzDHIMJvHyL0EgE9w+LZ2jnMQH6jm58tsGgLXsuK41oAR7cfFHpyBomQLmWfbQBGpBAQrIzEImlg2H7BJgyej6eT2NTGcRcT6F7Nw7t/pcCwqGtQnOPrGzBEPyQuhwSCzrF2Apj2uxpxRpZDaIjFFcjAlUAtECgYEA0bT3s5SY6NxS3gO47leHVyVlfYfE/WKDENe/4tW+OSldmZbvzm8sAYDslUR3mtvZ0Fb34hhLQNslSlFys2col439KUVr1Fa0us5JXXSYupG2sicxbgN1j6e+i5xciNtq5pdNc7jAUdS7F9HoAjkvkoT++dZVZJWR8+gSDLkJgYcCgYEAxvy9MCm/7NQ5atSFM/JtX0Ch2GR0giJCgZ24q0J6byqyke4ZKdEn7RAfvw04Q9PHKm/YslabnNlI0+qcRQkJOSl4h4eMI0XHWa/E/GQE8wzs3NO95uxCNYdEhMZRVKvEOPAJxrZDh9uyKpihTjWkcwT1i6Gwk5igsbVWf230+mkCgYAWpsyGuktWA85zqsVEAXJeCG0RBSRTFlv/6r4QW3QjqoMwvuwCSWHge7OSYAXnVU4OwgYehu9B/ynlAC06ka8Bx9WLqrL+CauV7ghgruJ8bJbmYXNmZbtCHCVp4SbhpYnDhJ5aHJ+xdyAKb6L28oRf+DuucudgaQON7AhfFXGgawKBgFZbdVejptGHQOvmE3D58xF1oUeiQRYA/E/4PR7GGRCJvTmr1Wvag7NUXhKyEAsPq831AFxVTe+CNSMTHIKxazlNkCtxXhYowF1h9OF8HtHEeD9V/YJsYkeMzuW4k69lZCE5u2Rr0V7yr53g45Bno1jvfAj/QPytLoAxLLrc44aRAoGBAJje8xMhvLu6Ygom1srHqSmfmcHUbeZAFP5/K5Ej0lhBya+B/3ImW7BOm10OX2UVSkIID4Qz8KRDTNtdl2kS2duHhPGG61vqYWq9O8WR83iJNuNkD4qq/gfx0WnY0YyYpdmXw0vy1Vc5RYBRkstkyHcHzfR/OIXga34bdHMqOrtE-----END PRIVATE KEY-----</v>
      </c>
    </row>
    <row r="3" spans="1:3">
      <c r="A3" t="s">
        <v>0</v>
      </c>
      <c r="B3" t="str" cm="1">
        <f t="array" ref="B3">Util_showFormula(C3)</f>
        <v>="3132333435313233343531323334353132333435"</v>
      </c>
      <c r="C3" t="str">
        <f>"3132333435313233343531323334353132333435"</f>
        <v>3132333435313233343531323334353132333435</v>
      </c>
    </row>
    <row r="4" spans="1:3">
      <c r="A4" t="s">
        <v>96</v>
      </c>
      <c r="B4" t="str" cm="1">
        <f t="array" ref="B4">Util_showFormula(C4)</f>
        <v>=RSA_Encrypt(C1,C3)</v>
      </c>
      <c r="C4" t="str" cm="1">
        <f t="array" ref="C4">RSA_Encrypt(C1,C3)</f>
        <v>6DF6B98BE021A3A196401E2F2A69F27752EAC1B278E46D0ED82ED3F809100ABD6411B4ABB2D087F5FAD0521306E6BC01236EB655C66058951DC4A0AE5A3DE5C63A6B1D4EED645471AA2C8F26ECF9A1642CE88BF36115353ADBE402428A56691DA2FC5A17FCD1A8573507E4635419E846A566E135BA106ACCF5FBDF8A9B16C9CC1E03F3E45A4F0D61DBB195775C3BFA24D44FEF842B4C19D6593308E03A5F2F66DA580F78F427532672FE1DF337A5C7B8E4E505926E0FCD431CA1BBFB83AF0A69FFC37ED02D8AE4E81397B9C31F57FA36AEA5BE15591836B9761CFD464B0B288264A898D6273F0A33F94BE85F4720C92E9B48B09CEC2DF6F78722FC2BE08B6546</v>
      </c>
    </row>
    <row r="5" spans="1:3">
      <c r="A5" t="s">
        <v>97</v>
      </c>
      <c r="B5" t="str" cm="1">
        <f t="array" ref="B5">Util_showFormula(C5)</f>
        <v>=RSA_Decrypt(C2,C4)</v>
      </c>
      <c r="C5" t="str" cm="1">
        <f t="array" ref="C5">RSA_Decrypt(C2,C4)</f>
        <v>3132333435313233343531323334353132333435</v>
      </c>
    </row>
    <row r="7" spans="1:3">
      <c r="A7" t="s">
        <v>424</v>
      </c>
    </row>
    <row r="8" spans="1:3">
      <c r="A8" t="s">
        <v>44</v>
      </c>
      <c r="C8" t="str" cm="1">
        <f t="array" ref="C8">RSA_getParameter(C1,"Modulus")</f>
        <v>A30100B2C8B5C4B1A097732BB6DA7F17F15CBF7C11EED793F0E11C816A7AF1CB3DC92C8486DC77723BE75E85432435CB0B50CEFC320A889BA7AB2415A0E511EA5FE4F8E2A0A8D1607113F2DE0FFC4A9629FD5638C39A1A5B1FB89C1E36170C3C77CB298E45BD87ABCCF5C7F36938D624C660B312C303EE8AFE63CD1B9D2C5183D95FE3F1A805504F35AA61B24279E949187F708968153C2ED1A84F8D16A29E4F51D57E996F3AABB0C818552D8BA987CA683657BE3A9DF105BD328EA6F6F26E7CB6ED13E892474699B9F1914608C4E313DADFCED9AC42525F3A6F2D122E1D97CCCAAB129C23DCEA06290A51EA4F60B2DDB2F884FCF4C5E70E3366D91A1D0FF65F</v>
      </c>
    </row>
    <row r="9" spans="1:3">
      <c r="A9" t="s">
        <v>45</v>
      </c>
      <c r="C9" t="str">
        <f>"010001"</f>
        <v>010001</v>
      </c>
    </row>
    <row r="10" spans="1:3">
      <c r="A10" t="s">
        <v>98</v>
      </c>
      <c r="B10" t="str" cm="1">
        <f t="array" ref="B10">Util_showFormula(C10)</f>
        <v>=RSA_CreatePublicPEM(C8,C9)</v>
      </c>
      <c r="C10" t="str" cm="1">
        <f t="array" ref="C10">RSA_CreatePublicPEM(C8,C9)</f>
        <v>-----BEGIN PUBLIC KEY-----MIIBIjANBgkqhkiG9w0BAQEFAAOCAQ8AMIIBCgKCAQEAowEAssi1xLGgl3Mrttp/_x000D_
F/Fcv3wR7teT8OEcgWp68cs9ySyEhtx3cjvnXoVDJDXLC1DO/DIKiJunqyQVoOUR_x000D_
6l/k+OKgqNFgcRPy3g/8SpYp/VY4w5oaWx+4nB42Fww8d8spjkW9h6vM9cfzaTjW_x000D_
JMZgsxLDA+6K/mPNG50sUYPZX+PxqAVQTzWqYbJCeelJGH9wiWgVPC7RqE+NFqKe_x000D_
T1HVfplvOquwyBhVLYuph8poNle+Op3xBb0yjqb28m58tu0T6JJHRpm58ZFGCMTj_x000D_
E9rfztmsQlJfOm8tEi4dl8zKqxKcI9zqBikKUepPYLLdsviE/PTF5w4zZtkaHQ/2_x000D_
XwIDAQAB-----END PUBLIC KEY-----</v>
      </c>
    </row>
    <row r="11" spans="1:3">
      <c r="A11" t="s">
        <v>286</v>
      </c>
      <c r="B11" t="str" cm="1">
        <f t="array" ref="B11">Util_showFormula(C11)</f>
        <v>OAEP</v>
      </c>
      <c r="C11" t="s">
        <v>329</v>
      </c>
    </row>
    <row r="12" spans="1:3">
      <c r="A12" t="s">
        <v>350</v>
      </c>
      <c r="B12" t="str" cm="1">
        <f t="array" ref="B12">Util_showFormula(C12)</f>
        <v>SHA256</v>
      </c>
      <c r="C12" t="s">
        <v>186</v>
      </c>
    </row>
    <row r="13" spans="1:3">
      <c r="A13" t="s">
        <v>349</v>
      </c>
      <c r="B13" t="str" cm="1">
        <f t="array" ref="B13">Util_showFormula(C13)</f>
        <v>=Util_AsciiToHexStr("Bob")</v>
      </c>
      <c r="C13" t="str" cm="1">
        <f t="array" ref="C13">Util_AsciiToHexStr("Bob")</f>
        <v>426F62</v>
      </c>
    </row>
    <row r="14" spans="1:3">
      <c r="A14" t="s">
        <v>234</v>
      </c>
      <c r="B14" t="str" cm="1">
        <f t="array" ref="B14">Util_showFormula(C14)</f>
        <v>=RSA_Encrypt(C10,C3,C11,C12,C13)</v>
      </c>
      <c r="C14" t="str" cm="1">
        <f t="array" ref="C14">RSA_Encrypt(C10,C3,C11,C12,C13)</f>
        <v>65ABE183B59FE818971A4453C62372E934A49CEB4CE2F267260DD3DBBEAA0F291E090E0E6F0871D19B78BE1275B95FC330590F4C8F6A39D12953F55A9C5806FD32D9D2BD85D9343B600DF5AB70F70544D72CDB2687AB73C2575316CA9E671423F8413086D65CB46887AD9DAF932B6B627E3B20B9EBEBE53941181964F916B4BE0917060C5AEB116465AF03FC8942C62DECE9CB8BE0DC039C0FEDA792CB603EC7D6F29A7608BAE2F3ABAC580A43F7BDFEEFABD1B86121232E18C75F244540A02387574A23475B0C89E1A0F495960C1B35AF9CD703DA06178A6C923F471666548BF13574EE76E96ABE2C3D2A1E3147B69E97C5A13A941A8FB968A37D4BA4C78140</v>
      </c>
    </row>
    <row r="15" spans="1:3">
      <c r="A15" t="s">
        <v>235</v>
      </c>
      <c r="B15" t="str" cm="1">
        <f t="array" ref="B15">Util_showFormula(C15)</f>
        <v>=RSA_Decrypt(C2,C14,C11,C12,C13)</v>
      </c>
      <c r="C15" t="str" cm="1">
        <f t="array" ref="C15">RSA_Decrypt(C2,C14,C11,C12,C13)</f>
        <v>3132333435313233343531323334353132333435</v>
      </c>
    </row>
    <row r="16" spans="1:3">
      <c r="C16" t="str" cm="1">
        <f t="array" ref="C16">RSA_Encrypt(C1,C3,C11,C12,C13)</f>
        <v>89A4FBA7E9071109A57903B42B599811607D93ADC52E14E44E0FA0E081C4D71E7061514319BFA9F9D21FD39ECC07CFFC3DC7621D776DBA8F5AA888CA94A8F8E3CA5FF5793390777FFFDA7B5ED21275CFA45819A9F409B4C31CF80D254C146A9107D5B83A2CB045E2D6398DD7DD22510D73A44D42921584384C0BFAC9BC68A18B5FDEDB7F43D35863A6E88972E18E975339E3D9DCFBEB12C1B4F5E2831D85EBBA8F97F75DAC376038C82A5593DD2D81A62D3288970A5871B79E79D25177CDA0548BE3732B94F48BB48D5EDE1A95900D9550A75ED2132E0813587934217C3155AA6EAE4852490EA55993D95B18D5CC72D8EC0C3C8D9542CF9123221CCB87C1F6F5</v>
      </c>
    </row>
    <row r="17" spans="1:11">
      <c r="C17" t="str" cm="1">
        <f t="array" ref="C17">RSA_Decrypt(C2,C16,C11,C12,C13)</f>
        <v>3132333435313233343531323334353132333435</v>
      </c>
    </row>
    <row r="18" spans="1:11">
      <c r="A18" t="s">
        <v>391</v>
      </c>
    </row>
    <row r="19" spans="1:11">
      <c r="A19" t="s">
        <v>286</v>
      </c>
      <c r="B19" t="str" cm="1">
        <f t="array" ref="B19">Util_showFormula(C19)</f>
        <v>OAEP</v>
      </c>
      <c r="C19" t="s">
        <v>329</v>
      </c>
    </row>
    <row r="20" spans="1:11">
      <c r="A20" t="s">
        <v>392</v>
      </c>
      <c r="B20" t="str" cm="1">
        <f t="array" ref="B20">Util_showFormula(C20)</f>
        <v>SHA256</v>
      </c>
      <c r="C20" t="s">
        <v>186</v>
      </c>
    </row>
    <row r="21" spans="1:11">
      <c r="A21" t="s">
        <v>393</v>
      </c>
      <c r="B21" t="str" cm="1">
        <f t="array" ref="B21">Util_showFormula(C21)</f>
        <v/>
      </c>
    </row>
    <row r="22" spans="1:11">
      <c r="A22" t="s">
        <v>234</v>
      </c>
      <c r="B22" t="str" cm="1">
        <f t="array" ref="B22">Util_showFormula(C22)</f>
        <v>=RSA_Encrypt(C1,C3,C19,C20,C21)</v>
      </c>
      <c r="C22" t="str" cm="1">
        <f t="array" ref="C22">RSA_Encrypt(C1,C3,C19,C20,C21)</f>
        <v>7B0956F5CF6BEEE1BD9389ED49086F4448C27D3AC17161782957D1856AA1B133C91940CA5BCEC635DDAF978285C87AAD6D8509B452A083415022C17747B7557928CF8A5C6DC9FA23F14F8BC40C44909F67943FD9111BB07CCF8A0376672F02C9C4381DAA62F89393CEEA4BA619E92B5F3CDA7E641219EF9F346BC6BDB50DD1BA9CEB8BB102A4670F42133AAFE4FCF5F53BF286860A4B9AA634DAF3A9616BD370D4538D67EA764F14FFE2C5C0FF7B985515E861F05C571A54348E5DD8F8212B28C3F7CB86D62BD6A32F31B57C468A8A01A3ABCC9624034375139943C5AD7244A670E7458291C0FC6B440ADBCA13074FA1EB740EB22962F2E564A6DEF5377C42BD</v>
      </c>
    </row>
    <row r="23" spans="1:11">
      <c r="A23" t="s">
        <v>235</v>
      </c>
      <c r="B23" t="str" cm="1">
        <f t="array" ref="B23">Util_showFormula(C23)</f>
        <v>=RSA_Decrypt(C2,C22,C19,C20,C21)</v>
      </c>
      <c r="C23" t="str" cm="1">
        <f t="array" ref="C23">RSA_Decrypt(C2,C22,C19,C20,C21)</f>
        <v>3132333435313233343531323334353132333435</v>
      </c>
    </row>
    <row r="26" spans="1:11">
      <c r="A26" t="s">
        <v>425</v>
      </c>
      <c r="B26" t="str" cm="1">
        <f t="array" ref="B26">Util_showFormula(C26)</f>
        <v>=Util_HexStrToBase64(C22)</v>
      </c>
      <c r="C26" t="str" cm="1">
        <f t="array" ref="C26">Util_HexStrToBase64(C22)</f>
        <v>ewlW9c9r7uG9k4ntSQhvREjCfTrBcWF4KVfRhWqhsTPJGUDKW87GNd2vl4KFyHqt_x000D_
bYUJtFKgg0FQIsF3R7dVeSjPilxtyfoj8U+LxAxEkJ9nlD/ZERuwfM+KA3ZnLwLJ_x000D_
xDgdqmL4k5PO6kumGekrXzzafmQSGe+fNGvGvbUN0bqc64uxAqRnD0ITOq/k/PX1_x000D_
O/KGhgpLmqY02vOpYWvTcNRTjWfqdk8U/+LFwP97mFUV6GHwXFcaVDSOXdj4ISso_x000D_
w/fLhtYr1qMvMbV8RoqKAaOrzJYkA0N1E5lDxa1yRKZw50WCkcD8a0QK28oTB0+h_x000D_
63QOsili8uVkpt71N3xCvQ==</v>
      </c>
    </row>
    <row r="28" spans="1:11">
      <c r="A28" t="s">
        <v>395</v>
      </c>
    </row>
    <row r="29" spans="1:11">
      <c r="A29" t="s">
        <v>394</v>
      </c>
      <c r="K29" s="3"/>
    </row>
    <row r="30" spans="1:11">
      <c r="K30" s="3"/>
    </row>
    <row r="31" spans="1:11">
      <c r="A31" t="s">
        <v>399</v>
      </c>
      <c r="D31" s="3"/>
      <c r="E31" s="3"/>
      <c r="K31" s="3"/>
    </row>
    <row r="32" spans="1:11">
      <c r="A32" t="s">
        <v>264</v>
      </c>
      <c r="B32" t="str" cm="1">
        <f t="array" ref="B32">Util_showFormula(C32)</f>
        <v>=VLOOKUP(A32,RSA_Keys,2,FALSE)</v>
      </c>
      <c r="C32" t="e">
        <f>VLOOKUP(A32,RSA_Keys,2,FALSE)</f>
        <v>#NAME?</v>
      </c>
      <c r="D32" s="3"/>
      <c r="E32" s="3"/>
      <c r="K32" s="3"/>
    </row>
    <row r="33" spans="1:11">
      <c r="A33" t="s">
        <v>340</v>
      </c>
      <c r="B33" t="str" cm="1">
        <f t="array" ref="B33">Util_showFormula(C33)</f>
        <v>0LGGUE50v76TPaYzwH+CIphVRwcDFE3YOnhelUlBycz8uxQbf2tTW/wHJyjbjtMnaXkAlB7Dkv5gU2haEeHXJyMqU+SNxj4B/oa+Mbl8l59sjPzWaxPMUX9j3gOzCqxZhbCCfZ6uObo9rFaZXcdYoFIZnNZbrgZUGXG39E2ju5yXFK6pPGU9t5lFY/oXAKgxE7FP3qynusXnPXYlJuh3pQtg0pTrJbwUcWB6cBnyfEXZajehI5hbLOTODmxIvJ/HhTS34L3QlzbOXDCwro9Mkrmx6qOK/wDuFZfTnmSZTOQZdSnYlKklLqutMQdm53AVJkAJUsC8vGjS/JL6h1tOQg==</v>
      </c>
      <c r="C33" t="s">
        <v>398</v>
      </c>
      <c r="D33" s="3"/>
      <c r="E33" s="3"/>
      <c r="K33" s="3"/>
    </row>
    <row r="34" spans="1:11">
      <c r="A34" t="s">
        <v>396</v>
      </c>
      <c r="B34" t="str" cm="1">
        <f t="array" ref="B34">Util_showFormula(C34)</f>
        <v/>
      </c>
      <c r="D34" s="3"/>
      <c r="E34" s="3"/>
      <c r="K34" s="3"/>
    </row>
    <row r="35" spans="1:11">
      <c r="A35" t="s">
        <v>348</v>
      </c>
      <c r="B35" t="str" cm="1">
        <f t="array" ref="B35">Util_showFormula(C35)</f>
        <v>=util_Base64ToHexStr(C33)</v>
      </c>
      <c r="C35" t="str" cm="1">
        <f t="array" ref="C35">util_Base64ToHexStr(C33)</f>
        <v>D0B186504E74BFBE933DA633C07F82229855470703144DD83A785E954941C9CCFCBB141B7F6B535BFC072728DB8ED327697900941EC392FE6053685A11E1D727232A53E48DC63E01FE86BE31B97C979F6C8CFCD66B13CC517F63DE03B30AAC5985B0827D9EAE39BA3DAC56995DC758A052199CD65BAE06541971B7F44DA3BB9C9714AEA93C653DB7994563FA1700A83113B14FDEACA7BAC5E73D762526E877A50B60D294EB25BC1471607A7019F27C45D96A37A123985B2CE4CE0E6C48BC9FC78534B7E0BDD09736CE5C30B0AE8F4C92B9B1EAA38AFF00EE1597D39E64994CE4197529D894A9252EABAD310766E7701526400952C0BCBC68D2FC92FA875B4E42</v>
      </c>
      <c r="D35" s="3"/>
      <c r="E35" s="3"/>
      <c r="K35" s="3"/>
    </row>
    <row r="36" spans="1:11">
      <c r="A36" t="s">
        <v>286</v>
      </c>
      <c r="B36" t="str" cm="1">
        <f t="array" ref="B36">Util_showFormula(C36)</f>
        <v>OAEP</v>
      </c>
      <c r="C36" t="s">
        <v>329</v>
      </c>
      <c r="D36" s="3"/>
      <c r="E36" s="3"/>
      <c r="K36" s="3"/>
    </row>
    <row r="37" spans="1:11">
      <c r="A37" t="s">
        <v>392</v>
      </c>
      <c r="B37" t="str" cm="1">
        <f t="array" ref="B37">Util_showFormula(C37)</f>
        <v>SHA256</v>
      </c>
      <c r="C37" t="s">
        <v>186</v>
      </c>
      <c r="D37" s="3"/>
      <c r="E37" s="3"/>
      <c r="K37" s="3"/>
    </row>
    <row r="38" spans="1:11">
      <c r="A38" t="s">
        <v>397</v>
      </c>
      <c r="B38" t="str" cm="1">
        <f t="array" ref="B38">Util_showFormula(C38)</f>
        <v>=util_Base64ToHexStr(C34)</v>
      </c>
      <c r="C38" t="str" cm="1">
        <f t="array" ref="C38">util_Base64ToHexStr(C34)</f>
        <v/>
      </c>
      <c r="D38" s="3"/>
      <c r="E38" s="3"/>
    </row>
    <row r="39" spans="1:11">
      <c r="A39" t="s">
        <v>426</v>
      </c>
      <c r="B39" t="str" cm="1">
        <f t="array" ref="B39">Util_showFormula(C39)</f>
        <v>=RSA_Decrypt(C32,C35,C36,C37,C38)</v>
      </c>
      <c r="C39" t="e" cm="1">
        <f t="array" ref="C39">RSA_Decrypt(C32,C35,C36,C37,C38)</f>
        <v>#VALUE!</v>
      </c>
      <c r="D39" s="3"/>
      <c r="E39" s="3"/>
    </row>
    <row r="40" spans="1:11">
      <c r="D40" s="3"/>
      <c r="E40" s="3"/>
    </row>
    <row r="41" spans="1:11">
      <c r="A41" t="s">
        <v>427</v>
      </c>
      <c r="D41" s="3"/>
      <c r="E41" s="3"/>
    </row>
    <row r="42" spans="1:11">
      <c r="A42" t="str">
        <f>FromOpenssl!B80</f>
        <v>Modulus</v>
      </c>
      <c r="C42" t="str">
        <f>FromOpenssl!C80</f>
        <v>00a30100b2c8b5c4b1a097732bb6da7f17f15cbf7c11eed793f0e11c816a7af1cb3dc92c8486dc77723be75e85432435cb0b50cefc320a889ba7ab2415a0e511ea5fe4f8e2a0a8d1607113f2de0ffc4a9629fd5638c39a1a5b1fb89c1e36170c3c77cb298e45bd87abccf5c7f36938d624c660b312c303ee8afe63cd1b9d2c5183d95fe3f1a805504f35aa61b24279e949187f708968153c2ed1a84f8d16a29e4f51d57e996f3aabb0c818552d8ba987ca683657be3a9df105bd328ea6f6f26e7cb6ed13e892474699b9f1914608c4e313dadfced9ac42525f3a6f2d122e1d97cccaab129c23dcea06290a51ea4f60b2ddb2f884fcf4c5e70e3366d91a1d0ff65f</v>
      </c>
      <c r="D42" s="3"/>
      <c r="E42" s="3"/>
    </row>
    <row r="43" spans="1:11">
      <c r="A43" t="str">
        <f>FromOpenssl!B81</f>
        <v>Public Exportnent</v>
      </c>
      <c r="C43" t="str">
        <f>FromOpenssl!C81</f>
        <v>010001</v>
      </c>
      <c r="D43" s="3"/>
      <c r="E43" s="3"/>
    </row>
    <row r="44" spans="1:11">
      <c r="A44" t="str">
        <f>FromOpenssl!B83</f>
        <v>Prime1</v>
      </c>
      <c r="C44" t="str">
        <f>FromOpenssl!C83</f>
        <v>00d1b4f7b39498e8dc52de03b8ee57875725657d87c4fd628310d7bfe2d5be39295d9996efce6f2c0180ec9544779adbd9d056f7e2184b40db254a5172b36728978dfd29456bd456b4bace495d7498ba91b6b227316e03758fa7be8b9c5c88db6ae6974d73b8c051d4bb17d1e802392f9284fef9d655649591f3e8120cb9098187</v>
      </c>
      <c r="D44" s="3"/>
    </row>
    <row r="45" spans="1:11">
      <c r="A45" t="str">
        <f>FromOpenssl!B84</f>
        <v>Prime2</v>
      </c>
      <c r="C45" t="str">
        <f>FromOpenssl!C84</f>
        <v>00c6fcbd3029bfecd4396ad48533f26d5f40a1d86474822242819db8ab427a6f2ab291ee1929d127ed101fbf0d3843d3c72a6fd8b2569b9cd948d3ea9c45090939297887878c2345c759afc4fc6404f30cecdcd3bde6ec4235874484c65154abc438f009c6b64387dbb22a98a14e35a47304f58ba1b09398a0b1b5567f6df4fa69</v>
      </c>
      <c r="D45" s="3"/>
    </row>
    <row r="46" spans="1:11">
      <c r="A46" t="str">
        <f>FromOpenssl!B85</f>
        <v>Exponent1</v>
      </c>
      <c r="C46" t="str">
        <f>FromOpenssl!C83</f>
        <v>00d1b4f7b39498e8dc52de03b8ee57875725657d87c4fd628310d7bfe2d5be39295d9996efce6f2c0180ec9544779adbd9d056f7e2184b40db254a5172b36728978dfd29456bd456b4bace495d7498ba91b6b227316e03758fa7be8b9c5c88db6ae6974d73b8c051d4bb17d1e802392f9284fef9d655649591f3e8120cb9098187</v>
      </c>
      <c r="D46" s="3"/>
    </row>
    <row r="47" spans="1:11">
      <c r="A47" t="str">
        <f>FromOpenssl!B86</f>
        <v>Exponent2</v>
      </c>
      <c r="C47" t="str">
        <f>FromOpenssl!C86</f>
        <v>565b7557a3a6d18740ebe61370f9f31175a147a2411600fc4ff83d1ec6191089bd39abd56bda83b3545e12b2100b0fabcdf5005c554def823523131c82b16b394d902b715e1628c05d61f4e17c1ed1c4783f55fd826c62478ccee5b893af65642139bb646bd15ef2af9de0e39067a358ef7c08ff40fcad2e80312cbadce38691</v>
      </c>
    </row>
    <row r="48" spans="1:11">
      <c r="A48" t="str">
        <f>FromOpenssl!B87</f>
        <v>Coefficient</v>
      </c>
      <c r="C48" t="str">
        <f>FromOpenssl!C87</f>
        <v>0098def31321bcbbba620a26d6cac7a9299f99c1d46de64014fe7f2b9123d25841c9af81ff72265bb04e9b5d0e5f65154a42080f8433f0a4434cdb5d976912d9db8784f186eb5bea616abd3bc591f3788936e3640f8aaafe07f1d169d8d18c98a5d997c34bf2d5573945805192cb64c87707cdf47f3885e06b7e1b74732a3abb44</v>
      </c>
      <c r="D48" s="3"/>
    </row>
    <row r="49" spans="1:4">
      <c r="A49" t="str">
        <f>FromOpenssl!B82</f>
        <v xml:space="preserve">Private Exponent </v>
      </c>
      <c r="C49" t="str">
        <f>FromOpenssl!C82</f>
        <v>0087034e9bc7495f692d3624ac01a1cb017ee6aea84a864543819243b52208417c7169cf18da47841c3767f5cf758469960b825c5f61e77dad47dca65fcfcbcce20f99ad58b1700334d9948766cd60d03abefeda4adc2129516eddcf59eabd7e621b6b48b95224a15a78c2df624b364b915c4b3e27fd25a590b512df11cf46a520b9084d6b3db0a24406d206330c720c26f1f22f412013dc3e2d9da39cc407ea39b9f2db0680b5ecb8ae35a0047b71f147a720689902e659f6d0046a41010ac8cc4226960d87ec1260c9e8fa793d8d4c6711713e85ecdc3bb7fa5c0b0a86b509ce3eb1b30443f242e870482ceb1760298f6bb1a714696436888c515c8c095402d1</v>
      </c>
      <c r="D49" s="3"/>
    </row>
    <row r="51" spans="1:4">
      <c r="A51" t="s">
        <v>182</v>
      </c>
    </row>
    <row r="52" spans="1:4">
      <c r="C52" t="s">
        <v>231</v>
      </c>
    </row>
    <row r="53" spans="1:4">
      <c r="A53" s="3" t="str">
        <f>A42</f>
        <v>Modulus</v>
      </c>
      <c r="B53" t="str" cm="1">
        <f t="array" ref="B53">Util_showFormula(D53)</f>
        <v>=RSA_getParameter($C$2,A53)</v>
      </c>
      <c r="C53" t="str" cm="1">
        <f t="array" ref="C53">IF( DER_removeLeadingZero(C42)=D53,"Success","Fail")</f>
        <v>Success</v>
      </c>
      <c r="D53" s="3" t="str" cm="1">
        <f t="array" ref="D53">RSA_getParameter($C$2,A53)</f>
        <v>A30100B2C8B5C4B1A097732BB6DA7F17F15CBF7C11EED793F0E11C816A7AF1CB3DC92C8486DC77723BE75E85432435CB0B50CEFC320A889BA7AB2415A0E511EA5FE4F8E2A0A8D1607113F2DE0FFC4A9629FD5638C39A1A5B1FB89C1E36170C3C77CB298E45BD87ABCCF5C7F36938D624C660B312C303EE8AFE63CD1B9D2C5183D95FE3F1A805504F35AA61B24279E949187F708968153C2ED1A84F8D16A29E4F51D57E996F3AABB0C818552D8BA987CA683657BE3A9DF105BD328EA6F6F26E7CB6ED13E892474699B9F1914608C4E313DADFCED9AC42525F3A6F2D122E1D97CCCAAB129C23DCEA06290A51EA4F60B2DDB2F884FCF4C5E70E3366D91A1D0FF65F</v>
      </c>
    </row>
    <row r="54" spans="1:4">
      <c r="A54" s="3" t="s">
        <v>45</v>
      </c>
      <c r="B54" t="str" cm="1">
        <f t="array" ref="B54">Util_showFormula(D54)</f>
        <v>=RSA_getParameter($C$2,A54)</v>
      </c>
      <c r="C54" t="str" cm="1">
        <f t="array" ref="C54">IF( DER_removeLeadingZero(C43)=D54,"Success","Fail")</f>
        <v>Success</v>
      </c>
      <c r="D54" s="3" t="str" cm="1">
        <f t="array" ref="D54">RSA_getParameter($C$2,A54)</f>
        <v>010001</v>
      </c>
    </row>
    <row r="55" spans="1:4">
      <c r="A55" s="3" t="s">
        <v>173</v>
      </c>
      <c r="B55" t="str" cm="1">
        <f t="array" ref="B55">Util_showFormula(D55)</f>
        <v>=RSA_getParameter($C$2,A55)</v>
      </c>
      <c r="C55" t="str" cm="1">
        <f t="array" ref="C55">IF( DER_removeLeadingZero(C44)=D55,"Success","Fail")</f>
        <v>Success</v>
      </c>
      <c r="D55" s="3" t="str" cm="1">
        <f t="array" ref="D55">RSA_getParameter($C$2,A55)</f>
        <v>D1B4F7B39498E8DC52DE03B8EE57875725657D87C4FD628310D7BFE2D5BE39295D9996EFCE6F2C0180EC9544779ADBD9D056F7E2184B40DB254A5172B36728978DFD29456BD456B4BACE495D7498BA91B6B227316E03758FA7BE8B9C5C88DB6AE6974D73B8C051D4BB17D1E802392F9284FEF9D655649591F3E8120CB9098187</v>
      </c>
    </row>
    <row r="56" spans="1:4">
      <c r="A56" s="3" t="s">
        <v>174</v>
      </c>
      <c r="B56" t="str" cm="1">
        <f t="array" ref="B56">Util_showFormula(D56)</f>
        <v>=RSA_getParameter($C$2,A56)</v>
      </c>
      <c r="C56" t="str" cm="1">
        <f t="array" ref="C56">IF( DER_removeLeadingZero(C45)=D56,"Success","Fail")</f>
        <v>Success</v>
      </c>
      <c r="D56" s="3" t="str" cm="1">
        <f t="array" ref="D56">RSA_getParameter($C$2,A56)</f>
        <v>C6FCBD3029BFECD4396AD48533F26D5F40A1D86474822242819DB8AB427A6F2AB291EE1929D127ED101FBF0D3843D3C72A6FD8B2569B9CD948D3EA9C45090939297887878C2345C759AFC4FC6404F30CECDCD3BDE6EC4235874484C65154ABC438F009C6B64387DBB22A98A14E35A47304F58BA1B09398A0B1B5567F6DF4FA69</v>
      </c>
    </row>
    <row r="57" spans="1:4">
      <c r="A57" s="3" t="s">
        <v>175</v>
      </c>
      <c r="B57" t="str" cm="1">
        <f t="array" ref="B57">Util_showFormula(D57)</f>
        <v>=RSA_getParameter($C$2,A57)</v>
      </c>
      <c r="C57" t="str" cm="1">
        <f t="array" ref="C57">IF( DER_removeLeadingZero(C46)=D57,"Success","Fail")</f>
        <v>Fail</v>
      </c>
      <c r="D57" s="3" t="str" cm="1">
        <f t="array" ref="D57">RSA_getParameter($C$2,A57)</f>
        <v>16A6CC86BA4B5603CE73AAC54401725E086D11052453165BFFEABE105B7423AA8330BEEC024961E07BB3926005E7554E0EC2061E86EF41FF29E5002D3A91AF01C7D58BAAB2FE09AB95EE0860AEE27C6C96E661736665BB421C2569E126E1A589C3849E5A1C9FB177200A6FA2F6F2845FF83BAE72E76069038DEC085F1571A06B</v>
      </c>
    </row>
    <row r="58" spans="1:4">
      <c r="A58" s="3" t="s">
        <v>176</v>
      </c>
      <c r="B58" t="str" cm="1">
        <f t="array" ref="B58">Util_showFormula(D58)</f>
        <v>=RSA_getParameter($C$2,A58)</v>
      </c>
      <c r="C58" t="str" cm="1">
        <f t="array" ref="C58">IF( DER_removeLeadingZero(C47)=D58,"Success","Fail")</f>
        <v>Success</v>
      </c>
      <c r="D58" s="3" t="str" cm="1">
        <f t="array" ref="D58">RSA_getParameter($C$2,A58)</f>
        <v>565B7557A3A6D18740EBE61370F9F31175A147A2411600FC4FF83D1EC6191089BD39ABD56BDA83B3545E12B2100B0FABCDF5005C554DEF823523131C82B16B394D902B715E1628C05D61F4E17C1ED1C4783F55FD826C62478CCEE5B893AF65642139BB646BD15EF2AF9DE0E39067A358EF7C08FF40FCAD2E80312CBADCE38691</v>
      </c>
    </row>
    <row r="59" spans="1:4">
      <c r="A59" s="3" t="s">
        <v>177</v>
      </c>
      <c r="B59" t="str" cm="1">
        <f t="array" ref="B59">Util_showFormula(D59)</f>
        <v>=RSA_getParameter($C$2,A59)</v>
      </c>
      <c r="C59" t="str" cm="1">
        <f t="array" ref="C59">IF( DER_removeLeadingZero(C48)=D59,"Success","Fail")</f>
        <v>Success</v>
      </c>
      <c r="D59" s="3" t="str" cm="1">
        <f t="array" ref="D59">RSA_getParameter($C$2,A59)</f>
        <v>98DEF31321BCBBBA620A26D6CAC7A9299F99C1D46DE64014FE7F2B9123D25841C9AF81FF72265BB04E9B5D0E5F65154A42080F8433F0A4434CDB5D976912D9DB8784F186EB5BEA616ABD3BC591F3788936E3640F8AAAFE07F1D169D8D18C98A5D997C34BF2D5573945805192CB64C87707CDF47F3885E06B7E1B74732A3ABB44</v>
      </c>
    </row>
    <row r="60" spans="1:4">
      <c r="A60" s="3" t="s">
        <v>181</v>
      </c>
      <c r="B60" t="str" cm="1">
        <f t="array" ref="B60">Util_showFormula(D60)</f>
        <v>=RSA_getParameter($C$2,A60)</v>
      </c>
      <c r="C60" t="str" cm="1">
        <f t="array" ref="C60">IF( DER_removeLeadingZero(C49)=D60,"Success","Fail")</f>
        <v>Success</v>
      </c>
      <c r="D60" s="3" t="str" cm="1">
        <f t="array" ref="D60">RSA_getParameter($C$2,A60)</f>
        <v>87034E9BC7495F692D3624AC01A1CB017EE6AEA84A864543819243B52208417C7169CF18DA47841C3767F5CF758469960B825C5F61E77DAD47DCA65FCFCBCCE20F99AD58B1700334D9948766CD60D03ABEFEDA4ADC2129516EDDCF59EABD7E621B6B48B95224A15A78C2DF624B364B915C4B3E27FD25A590B512DF11CF46A520B9084D6B3DB0A24406D206330C720C26F1F22F412013DC3E2D9DA39CC407EA39B9F2DB0680B5ECB8AE35A0047B71F147A720689902E659F6D0046A41010AC8CC4226960D87EC1260C9E8FA793D8D4C6711713E85ECDC3BB7FA5C0B0A86B509CE3EB1B30443F242E870482CEB1760298F6BB1A714696436888C515C8C095402D1</v>
      </c>
    </row>
    <row r="61" spans="1:4">
      <c r="A61" s="3" t="s">
        <v>184</v>
      </c>
      <c r="B61" t="str" cm="1">
        <f t="array" ref="B61">Util_showFormula(D61)</f>
        <v>=RSA_getParameter($C$2,A61)</v>
      </c>
      <c r="D61" s="3" t="str" cm="1">
        <f t="array" ref="D61">RSA_getParameter($C$2,A61)</f>
        <v>Invalid parameter for public keys possible values are Exponent and Modulus, for private it is Exponent, Modulus, Prime1, Prime2, Exponent1, Exponent2, Coefficient, PrivateExponent</v>
      </c>
    </row>
    <row r="62" spans="1:4">
      <c r="A62" s="3"/>
      <c r="C62" s="3" t="str" cm="1">
        <f t="array" ref="C62">RSA_createPrivatePEM(D53,D54,D55,D56)</f>
        <v>-----BEGIN PRIVATE KEY-----MIIEvgIBADANBgkqhkiG9w0BAQEFAASCBKgwggSkAgEAAoIBAQCjAQCyyLXEsaCX_x000D_
cyu22n8X8Vy/fBHu15Pw4RyBanrxyz3JLISG3HdyO+dehUMkNcsLUM78MgqIm6er_x000D_
JBWg5RHqX+T44qCo0WBxE/LeD/xKlin9VjjDmhpbH7icHjYXDDx3yymORb2Hq8z1_x000D_
x/NpONYkxmCzEsMD7or+Y80bnSxRg9lf4/GoBVBPNaphskJ56UkYf3CJaBU8LtGo_x000D_
T40Wop5PUdV+mW86q7DIGFUti6mHymg2V746nfEFvTKOpvbybny27RPokkdGmbnx_x000D_
kUYIxOMT2t/O2axCUl86by0SLh2XzMqrEpwj3OoGKQpR6k9gst2y+IT89MXnDjNm_x000D_
2RodD/ZfAgMBAAECggEBAIcDTpvHSV9pLTYkrAGhywF+5q6oSoZFQ4GSQ7UiCEF8_x000D_
cWnPGNpHhBw3Z/XPdYRplguCXF9h532tR9ymX8/LzOIPma1YsXADNNmUh2bNYNA6_x000D_
vv7aStwhKVFu3c9Z6r1+YhtrSLlSJKFaeMLfYks2S5FcSz4n/SWlkLUS3xHPRqUg_x000D_
uQhNaz2wokQG0gYzDHIMJvHyL0EgE9w+LZ2jnMQH6jm58tsGgLXsuK41oAR7cfFH_x000D_
pyBomQLmWfbQBGpBAQrIzEImlg2H7BJgyej6eT2NTGcRcT6F7Nw7t/pcCwqGtQnO_x000D_
PrGzBEPyQuhwSCzrF2Apj2uxpxRpZDaIjFFcjAlUAtECgYEA0bT3s5SY6NxS3gO4_x000D_
7leHVyVlfYfE/WKDENe/4tW+OSldmZbvzm8sAYDslUR3mtvZ0Fb34hhLQNslSlFy_x000D_
s2col439KUVr1Fa0us5JXXSYupG2sicxbgN1j6e+i5xciNtq5pdNc7jAUdS7F9Ho_x000D_
AjkvkoT++dZVZJWR8+gSDLkJgYcCgYEAxvy9MCm/7NQ5atSFM/JtX0Ch2GR0giJC_x000D_
gZ24q0J6byqyke4ZKdEn7RAfvw04Q9PHKm/YslabnNlI0+qcRQkJOSl4h4eMI0XH_x000D_
Wa/E/GQE8wzs3NO95uxCNYdEhMZRVKvEOPAJxrZDh9uyKpihTjWkcwT1i6Gwk5ig_x000D_
sbVWf230+mkCgYAWpsyGuktWA85zqsVEAXJeCG0RBSRTFlv/6r4QW3QjqoMwvuwC_x000D_
SWHge7OSYAXnVU4OwgYehu9B/ynlAC06ka8Bx9WLqrL+CauV7ghgruJ8bJbmYXNm_x000D_
ZbtCHCVp4SbhpYnDhJ5aHJ+xdyAKb6L28oRf+DuucudgaQON7AhfFXGgawKBgFZb_x000D_
dVejptGHQOvmE3D58xF1oUeiQRYA/E/4PR7GGRCJvTmr1Wvag7NUXhKyEAsPq831_x000D_
AFxVTe+CNSMTHIKxazlNkCtxXhYowF1h9OF8HtHEeD9V/YJsYkeMzuW4k69lZCE5_x000D_
u2Rr0V7yr53g45Bno1jvfAj/QPytLoAxLLrc44aRAoGBAJje8xMhvLu6Ygom1srH_x000D_
qSmfmcHUbeZAFP5/K5Ej0lhBya+B/3ImW7BOm10OX2UVSkIID4Qz8KRDTNtdl2kS_x000D_
2duHhPGG61vqYWq9O8WR83iJNuNkD4qq/gfx0WnY0YyYpdmXw0vy1Vc5RYBRkstk_x000D_
yHcHzfR/OIXga34bdHMqOrtE-----END PRIVATE KEY-----</v>
      </c>
    </row>
    <row r="63" spans="1:4">
      <c r="A63" s="3"/>
      <c r="B63" s="3"/>
      <c r="C63" s="3" t="str" cm="1">
        <f t="array" ref="C63">RSA_Decrypt(C62,C14,"OAEP",C12,C13)</f>
        <v>3132333435313233343531323334353132333435</v>
      </c>
    </row>
    <row r="66" spans="1:4">
      <c r="A66" s="3" t="s">
        <v>183</v>
      </c>
      <c r="B66" s="3"/>
    </row>
    <row r="67" spans="1:4">
      <c r="A67" s="3" t="s">
        <v>45</v>
      </c>
      <c r="D67" s="3" t="str" cm="1">
        <f t="array" ref="D67">RSA_getParameter($C$1,A67)</f>
        <v>010001</v>
      </c>
    </row>
    <row r="68" spans="1:4">
      <c r="A68" s="3" t="str">
        <f>A43</f>
        <v>Public Exportnent</v>
      </c>
      <c r="B68" t="str" cm="1">
        <f t="array" ref="B68">Util_showFormula(D68)</f>
        <v>=RSA_getParameter($C$1,A68)</v>
      </c>
      <c r="D68" s="3" t="str" cm="1">
        <f t="array" ref="D68">RSA_getParameter($C$1,A68)</f>
        <v>Invalid parameter for public keys possible values are Exponent and Modulus, for private it is Exponent, Modulus, Prime1, Prime2, Exponent1, Exponent2, Coefficient, PrivateExponent</v>
      </c>
    </row>
    <row r="69" spans="1:4">
      <c r="A69" s="3" t="s">
        <v>173</v>
      </c>
      <c r="B69" t="str" cm="1">
        <f t="array" ref="B69">Util_showFormula(D69)</f>
        <v>=RSA_getParameter($C$1,A69)</v>
      </c>
      <c r="D69" s="3" t="str" cm="1">
        <f t="array" ref="D69">RSA_getParameter($C$1,A69)</f>
        <v>Invalid parameter for public keys possible values are Exponent and Modulus, for private it is Exponent, Modulus, Prime1, Prime2, Exponent1, Exponent2, Coefficient, PrivateExponent</v>
      </c>
    </row>
    <row r="70" spans="1:4">
      <c r="A70" s="3" t="s">
        <v>174</v>
      </c>
      <c r="B70" t="str" cm="1">
        <f t="array" ref="B70">Util_showFormula(D70)</f>
        <v>=RSA_getParameter($C$1,A70)</v>
      </c>
      <c r="D70" s="3" t="str" cm="1">
        <f t="array" ref="D70">RSA_getParameter($C$1,A70)</f>
        <v>Invalid parameter for public keys possible values are Exponent and Modulus, for private it is Exponent, Modulus, Prime1, Prime2, Exponent1, Exponent2, Coefficient, PrivateExponent</v>
      </c>
    </row>
    <row r="71" spans="1:4">
      <c r="A71" s="3" t="s">
        <v>175</v>
      </c>
      <c r="B71" t="str" cm="1">
        <f t="array" ref="B71">Util_showFormula(D71)</f>
        <v>=RSA_getParameter($C$1,A71)</v>
      </c>
      <c r="D71" s="3" t="str" cm="1">
        <f t="array" ref="D71">RSA_getParameter($C$1,A71)</f>
        <v>Invalid parameter for public keys possible values are Exponent and Modulus, for private it is Exponent, Modulus, Prime1, Prime2, Exponent1, Exponent2, Coefficient, PrivateExponent</v>
      </c>
    </row>
    <row r="72" spans="1:4">
      <c r="A72" s="3" t="s">
        <v>176</v>
      </c>
      <c r="B72" t="str" cm="1">
        <f t="array" ref="B72">Util_showFormula(D72)</f>
        <v>=RSA_getParameter($C$1,A72)</v>
      </c>
      <c r="D72" s="3" t="str" cm="1">
        <f t="array" ref="D72">RSA_getParameter($C$1,A72)</f>
        <v>Invalid parameter for public keys possible values are Exponent and Modulus, for private it is Exponent, Modulus, Prime1, Prime2, Exponent1, Exponent2, Coefficient, PrivateExponent</v>
      </c>
    </row>
    <row r="73" spans="1:4">
      <c r="A73" s="3" t="s">
        <v>177</v>
      </c>
      <c r="B73" t="str" cm="1">
        <f t="array" ref="B73">Util_showFormula(D73)</f>
        <v>=RSA_getParameter($C$1,A73)</v>
      </c>
      <c r="D73" s="3" t="str" cm="1">
        <f t="array" ref="D73">RSA_getParameter($C$1,A73)</f>
        <v>Invalid parameter for public keys possible values are Exponent and Modulus, for private it is Exponent, Modulus, Prime1, Prime2, Exponent1, Exponent2, Coefficient, PrivateExponent</v>
      </c>
    </row>
    <row r="74" spans="1:4">
      <c r="A74" s="3" t="s">
        <v>181</v>
      </c>
      <c r="B74" t="str" cm="1">
        <f t="array" ref="B74">Util_showFormula(D74)</f>
        <v>=RSA_getParameter($C$1,A74)</v>
      </c>
      <c r="D74" s="3" t="str" cm="1">
        <f t="array" ref="D74">RSA_getParameter($C$1,A74)</f>
        <v>Invalid parameter for public keys possible values are Exponent and Modulus, for private it is Exponent, Modulus, Prime1, Prime2, Exponent1, Exponent2, Coefficient, PrivateExponent</v>
      </c>
    </row>
    <row r="75" spans="1:4">
      <c r="B75" t="str" cm="1">
        <f t="array" ref="B75">Util_showFormula(D75)</f>
        <v/>
      </c>
    </row>
    <row r="76" spans="1:4">
      <c r="A76" s="3" t="s">
        <v>428</v>
      </c>
    </row>
    <row r="77" spans="1:4">
      <c r="A77" s="3" t="s">
        <v>0</v>
      </c>
      <c r="B77" t="str" cm="1">
        <f t="array" ref="B77">Util_showFormula(D76)</f>
        <v/>
      </c>
      <c r="C77" s="3" t="str">
        <f>C3</f>
        <v>3132333435313233343531323334353132333435</v>
      </c>
    </row>
    <row r="78" spans="1:4">
      <c r="A78" s="3" t="s">
        <v>185</v>
      </c>
      <c r="B78" t="str" cm="1">
        <f t="array" ref="B78">Util_showFormula(D77)</f>
        <v/>
      </c>
      <c r="C78" t="s">
        <v>186</v>
      </c>
    </row>
    <row r="79" spans="1:4">
      <c r="A79" s="3" t="s">
        <v>187</v>
      </c>
      <c r="B79" t="str" cm="1">
        <f t="array" ref="B79">Util_showFormula(D78)</f>
        <v/>
      </c>
      <c r="C79" t="str" cm="1">
        <f t="array" ref="C79">Hash_Calculate(C78,C77)</f>
        <v>081115DF5D291465362F17C4B7B182DA6AAA6D8147A0FEC1ACA8435EEC404612</v>
      </c>
    </row>
    <row r="80" spans="1:4">
      <c r="A80" s="3" t="s">
        <v>189</v>
      </c>
      <c r="B80" t="str" cm="1">
        <f t="array" ref="B80">Util_showFormula(D79)</f>
        <v/>
      </c>
      <c r="C80" t="str" cm="1">
        <f t="array" ref="C80">RSA_SignHash(C2,C79,C78)</f>
        <v>7F6F2746E798B2F73709B7EC7CEC08529E6C5C758FEDB95AB7594A7968472D41BA2D3E3B1BF7DD4A8C7BD4CF294BF921C484646F6B3AA66825067B4F6FB88D614AEBFA34283B0E4BB5E9FBAAE1B9310E6D9F6469F1B6AEA86C4D8557F3CEF665545208D8A56122FB82A2C803288C732EC3507B45D57C1023A3D0A81CB0B6E5D25773D17DB51C11D7AD965DE78E4323FC51D6A09A3CC3EF5C3E1B27B80CACC6A2DBD67BD4C950E7D8F7475B4C4B25ECA8F5197D4291D0ABFAA3ABD4E33A9068F0EA7C205C8C05914C56A88766080D1692035F490F37C4E52A0A1D08AF826B32FE689E041004B156FADCE48F46C79F4F5DCEFFF4FFE7FECCCB64876F753390675F</v>
      </c>
    </row>
    <row r="81" spans="1:2">
      <c r="A81" s="3" t="s">
        <v>190</v>
      </c>
    </row>
    <row r="82" spans="1:2">
      <c r="A82" s="3" t="s">
        <v>187</v>
      </c>
      <c r="B82" t="str">
        <f>C79</f>
        <v>081115DF5D291465362F17C4B7B182DA6AAA6D8147A0FEC1ACA8435EEC404612</v>
      </c>
    </row>
    <row r="83" spans="1:2">
      <c r="A83" s="3" t="s">
        <v>188</v>
      </c>
      <c r="B83" t="str">
        <f>C80</f>
        <v>7F6F2746E798B2F73709B7EC7CEC08529E6C5C758FEDB95AB7594A7968472D41BA2D3E3B1BF7DD4A8C7BD4CF294BF921C484646F6B3AA66825067B4F6FB88D614AEBFA34283B0E4BB5E9FBAAE1B9310E6D9F6469F1B6AEA86C4D8557F3CEF665545208D8A56122FB82A2C803288C732EC3507B45D57C1023A3D0A81CB0B6E5D25773D17DB51C11D7AD965DE78E4323FC51D6A09A3CC3EF5C3E1B27B80CACC6A2DBD67BD4C950E7D8F7475B4C4B25ECA8F5197D4291D0ABFAA3ABD4E33A9068F0EA7C205C8C05914C56A88766080D1692035F490F37C4E52A0A1D08AF826B32FE689E041004B156FADCE48F46C79F4F5DCEFFF4FFE7FECCCB64876F753390675F</v>
      </c>
    </row>
    <row r="84" spans="1:2">
      <c r="A84" s="3" t="s">
        <v>191</v>
      </c>
      <c r="B84" t="s">
        <v>186</v>
      </c>
    </row>
    <row r="85" spans="1:2">
      <c r="A85" s="3" t="s">
        <v>192</v>
      </c>
      <c r="B85" t="str" cm="1">
        <f t="array" ref="B85">RSA_VerifySignature(C1,B82,B83,B84,"OK")</f>
        <v>OK</v>
      </c>
    </row>
    <row r="88" spans="1:2">
      <c r="A88" s="3"/>
    </row>
    <row r="119" spans="11:11">
      <c r="K119" s="10"/>
    </row>
    <row r="120" spans="11:11">
      <c r="K120" s="10"/>
    </row>
    <row r="121" spans="11:11">
      <c r="K121" s="10"/>
    </row>
    <row r="122" spans="11:11">
      <c r="K122" s="9"/>
    </row>
    <row r="123" spans="11:11">
      <c r="K123" s="10"/>
    </row>
    <row r="124" spans="11:11">
      <c r="K124" s="10"/>
    </row>
    <row r="125" spans="11:11">
      <c r="K125" s="10"/>
    </row>
    <row r="126" spans="11:11">
      <c r="K126" s="10"/>
    </row>
    <row r="127" spans="11:11">
      <c r="K127" s="10"/>
    </row>
    <row r="128" spans="11:11">
      <c r="K128" s="10"/>
    </row>
    <row r="129" spans="11:11">
      <c r="K129" s="10"/>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00143-72B9-4BF3-8844-CF92866AD7F5}">
  <sheetPr codeName="Sheet6"/>
  <dimension ref="A1:I73"/>
  <sheetViews>
    <sheetView topLeftCell="A51" workbookViewId="0">
      <selection activeCell="C67" sqref="C67"/>
    </sheetView>
  </sheetViews>
  <sheetFormatPr defaultRowHeight="14.4"/>
  <cols>
    <col min="1" max="1" width="26.109375" customWidth="1"/>
    <col min="2" max="2" width="21.109375" customWidth="1"/>
    <col min="3" max="3" width="42" customWidth="1"/>
  </cols>
  <sheetData>
    <row r="1" spans="1:4">
      <c r="A1" t="s">
        <v>203</v>
      </c>
      <c r="B1" t="str" cm="1">
        <f t="array" ref="B1">Util_showFormula(C1)</f>
        <v>=VLOOKUP(A1,Keys,2,FALSE)</v>
      </c>
      <c r="C1" t="str">
        <f>VLOOKUP(A1,Keys,2,FALSE)</f>
        <v>-----BEGIN PUBLIC KEY-----MFkwEwYHKoZIzj0CAQYIKoZIzj0DAQcDQgAEdlDsUIpBcMsRcjYeW9wmo9YKFSsfLRg0TGlm2uUMenxxGRiiKKF/BB18TO06cZJ92HGbnEdfh9Rygd3o5XaUlg==-----END PUBLIC KEY-----</v>
      </c>
    </row>
    <row r="2" spans="1:4">
      <c r="A2" t="s">
        <v>206</v>
      </c>
      <c r="B2" t="str" cm="1">
        <f t="array" ref="B2">Util_showFormula(C2)</f>
        <v>=VLOOKUP(A2,Keys,2,FALSE)</v>
      </c>
      <c r="C2" t="str">
        <f>VLOOKUP(A2,Keys,2,FALSE)</f>
        <v>-----BEGIN EC PRIVATE KEY-----MHcCAQEEIAlB93bN6RnTwuYebq9AIEUYTWLCQR20FKG/Jy9gCMrcoAoGCCqGSM49AwEHoUQDQgAEkerBdkk6Lw/+77HVzmcVOZsZgXoH1qmeEZb+cQUwg6bUihbEFQrIRSaIf/VQNUDqNZGFzdTOeNoEzVlbyrLPcw==-----END EC PRIVATE KEY-----</v>
      </c>
    </row>
    <row r="3" spans="1:4">
      <c r="A3" t="s">
        <v>207</v>
      </c>
      <c r="B3" t="str" cm="1">
        <f t="array" ref="B3">Util_showFormula(C3)</f>
        <v>=EC_DeriveSharedSecret(C1,C2)</v>
      </c>
      <c r="C3" s="3" t="str" cm="1">
        <f t="array" ref="C3">EC_DeriveSharedSecret(C1,C2)</f>
        <v>CA3C2944EF4D7FCACFA06AE491CE303FAE8F7CDA53F99F8C5F71B4FCBCB8BC50</v>
      </c>
    </row>
    <row r="5" spans="1:4">
      <c r="A5" t="s">
        <v>203</v>
      </c>
      <c r="B5" t="str" cm="1">
        <f t="array" ref="B5">Util_showFormula(C5)</f>
        <v>=VLOOKUP(A5,Keys,3,FALSE)</v>
      </c>
      <c r="C5" t="str">
        <f>VLOOKUP(A5,Keys,3,FALSE)</f>
        <v>047650EC508A4170CB1172361E5BDC26A3D60A152B1F2D18344C6966DAE50C7A7C711918A228A17F041D7C4CED3A71927DD8719B9C475F87D47281DDE8E5769496</v>
      </c>
    </row>
    <row r="6" spans="1:4">
      <c r="A6" t="s">
        <v>206</v>
      </c>
      <c r="B6" t="str" cm="1">
        <f t="array" ref="B6">Util_showFormula(C6)</f>
        <v>=VLOOKUP(A6,Keys,3,FALSE)</v>
      </c>
      <c r="C6" t="str">
        <f>VLOOKUP(A6,Keys,3,FALSE)</f>
        <v>0941F776CDE919D3C2E61E6EAF402045184D62C2411DB414A1BF272F6008CADC</v>
      </c>
    </row>
    <row r="7" spans="1:4">
      <c r="A7" t="s">
        <v>205</v>
      </c>
      <c r="B7" t="str" cm="1">
        <f t="array" ref="B7">Util_showFormula(C7)</f>
        <v>=VLOOKUP(A7,Keys,3,FALSE)</v>
      </c>
      <c r="C7" t="str">
        <f>VLOOKUP(A7,Keys,3,FALSE)</f>
        <v>0491EAC176493A2F0FFEEFB1D5CE6715399B19817A07D6A99E1196FE71053083A6D48A16C4150AC84526887FF5503540EA359185CDD4CE78DA04CD595BCAB2CF73</v>
      </c>
    </row>
    <row r="8" spans="1:4">
      <c r="A8" t="s">
        <v>218</v>
      </c>
      <c r="B8" t="str" cm="1">
        <f t="array" ref="B8">Util_showFormula(C8)</f>
        <v>prime256v1</v>
      </c>
      <c r="C8" t="s">
        <v>372</v>
      </c>
    </row>
    <row r="9" spans="1:4">
      <c r="A9" t="s">
        <v>219</v>
      </c>
      <c r="B9" t="str" cm="1">
        <f t="array" ref="B9">Util_showFormula(C9)</f>
        <v>=EC_Createpublicpem(C8,C5)</v>
      </c>
      <c r="C9" t="str" cm="1">
        <f t="array" ref="C9">EC_Createpublicpem(C8,C5)</f>
        <v>-----BEGIN PUBLIC KEY-----MFkwEwYHKoZIzj0CAQYIKoZIzj0DAQcDQgAEdlDsUIpBcMsRcjYeW9wmo9YKFSsf_x000D_
LRg0TGlm2uUMenxxGRiiKKF/BB18TO06cZJ92HGbnEdfh9Rygd3o5XaUlg==-----END PUBLIC KEY-----</v>
      </c>
    </row>
    <row r="10" spans="1:4">
      <c r="A10" t="s">
        <v>230</v>
      </c>
      <c r="B10" t="str" cm="1">
        <f t="array" ref="B10">Util_showFormula(C10)</f>
        <v>=EC_Createprivatepem(ECurve!C8,ECurve!C7,ECurve!C6)</v>
      </c>
      <c r="C10" t="str" cm="1">
        <f t="array" ref="C10">EC_Createprivatepem(ECurve!C8,ECurve!C7,ECurve!C6)</f>
        <v>-----BEGIN EC PRIVATE KEY-----MHcCAQEEIAlB93bN6RnTwuYebq9AIEUYTWLCQR20FKG/Jy9gCMrcoAoGCCqGSM49_x000D_
AwEHoUQDQgAEkerBdkk6Lw/+77HVzmcVOZsZgXoH1qmeEZb+cQUwg6bUihbEFQrI_x000D_
RSaIf/VQNUDqNZGFzdTOeNoEzVlbyrLPcw==-----END EC PRIVATE KEY-----</v>
      </c>
    </row>
    <row r="11" spans="1:4">
      <c r="A11" t="s">
        <v>207</v>
      </c>
      <c r="B11" t="str" cm="1">
        <f t="array" ref="B11">Util_showFormula(C11)</f>
        <v>=EC_DeriveSharedSecret(C9,C10)</v>
      </c>
      <c r="C11" t="str" cm="1">
        <f t="array" ref="C11">EC_DeriveSharedSecret(C9,C10)</f>
        <v>CA3C2944EF4D7FCACFA06AE491CE303FAE8F7CDA53F99F8C5F71B4FCBCB8BC50</v>
      </c>
    </row>
    <row r="12" spans="1:4">
      <c r="A12" t="s">
        <v>231</v>
      </c>
      <c r="C12" t="str">
        <f>IF(C11=C3,"Success","Fail")</f>
        <v>Success</v>
      </c>
    </row>
    <row r="13" spans="1:4">
      <c r="C13" t="str" cm="1">
        <f t="array" ref="C13">IF(util_Base64ToHexStr(C1)=util_Base64ToHexStr(C9),"Success","Fail")</f>
        <v>Success</v>
      </c>
      <c r="D13" t="str" cm="1">
        <f t="array" ref="D13">IF(util_Base64ToHexStr(C2)=util_Base64ToHexStr(C10),"Success","Fail")</f>
        <v>Success</v>
      </c>
    </row>
    <row r="14" spans="1:4">
      <c r="A14" t="s">
        <v>386</v>
      </c>
    </row>
    <row r="15" spans="1:4">
      <c r="A15" t="s">
        <v>92</v>
      </c>
      <c r="B15" t="str" cm="1">
        <f t="array" ref="B15">Util_showFormula(C15)</f>
        <v>="00000001"</v>
      </c>
      <c r="C15" t="str">
        <f>"00000001"</f>
        <v>00000001</v>
      </c>
    </row>
    <row r="16" spans="1:4">
      <c r="A16" t="s">
        <v>90</v>
      </c>
      <c r="B16" t="str" cm="1">
        <f t="array" ref="B16">Util_showFormula(C16)</f>
        <v>SGVyZSBpcyBzb21lIG90aGVyIGluZm8K</v>
      </c>
      <c r="C16" t="s">
        <v>89</v>
      </c>
    </row>
    <row r="17" spans="1:9">
      <c r="A17" t="s">
        <v>91</v>
      </c>
      <c r="B17" t="str" cm="1">
        <f t="array" ref="B17">Util_showFormula(C17)</f>
        <v>=util_Base64ToHexStr(C16)</v>
      </c>
      <c r="C17" t="str" cm="1">
        <f t="array" ref="C17">util_Base64ToHexStr(C16)</f>
        <v>4865726520697320736F6D65206F7468657220696E666F0A</v>
      </c>
    </row>
    <row r="18" spans="1:9">
      <c r="A18" t="s">
        <v>93</v>
      </c>
      <c r="B18" t="str" cm="1">
        <f t="array" ref="B18">Util_showFormula(C18)</f>
        <v>=C15&amp;C3&amp;C17</v>
      </c>
      <c r="C18" t="str">
        <f>C15&amp;C3&amp;C17</f>
        <v>00000001CA3C2944EF4D7FCACFA06AE491CE303FAE8F7CDA53F99F8C5F71B4FCBCB8BC504865726520697320736F6D65206F7468657220696E666F0A</v>
      </c>
    </row>
    <row r="19" spans="1:9">
      <c r="A19" t="s">
        <v>94</v>
      </c>
      <c r="B19" t="str" cm="1">
        <f t="array" ref="B19">Util_showFormula(C19)</f>
        <v>=Hash_Calculate("SHA256",C18)</v>
      </c>
      <c r="C19" t="str" cm="1">
        <f t="array" ref="C19">Hash_Calculate("SHA256",C18)</f>
        <v>4DE4852062066E36E495826C56C95F94DE0FA8AA88CADE83A30A657E79BA8DF6</v>
      </c>
    </row>
    <row r="21" spans="1:9">
      <c r="A21" t="s">
        <v>387</v>
      </c>
      <c r="C21" t="s">
        <v>95</v>
      </c>
    </row>
    <row r="22" spans="1:9">
      <c r="B22" t="str" cm="1">
        <f t="array" ref="B22">Util_showFormula(C22)</f>
        <v>=IF(C21=C18,"Success","Fail")</v>
      </c>
      <c r="C22" t="str">
        <f>IF(C21=C18,"Success","Fail")</f>
        <v>Success</v>
      </c>
    </row>
    <row r="23" spans="1:9">
      <c r="A23" t="s">
        <v>388</v>
      </c>
      <c r="C23" t="s">
        <v>389</v>
      </c>
    </row>
    <row r="24" spans="1:9">
      <c r="B24" t="str" cm="1">
        <f t="array" ref="B24">Util_showFormula(C24)</f>
        <v>=IF(C23=C19,"Success","Fail")</v>
      </c>
      <c r="C24" t="str">
        <f>IF(C23=C19,"Success","Fail")</f>
        <v>Success</v>
      </c>
    </row>
    <row r="25" spans="1:9">
      <c r="A25" t="s">
        <v>382</v>
      </c>
      <c r="B25" t="str" cm="1">
        <f t="array" ref="B25">Util_showFormula(C25)</f>
        <v>=C1</v>
      </c>
      <c r="C25" t="str">
        <f>C1</f>
        <v>-----BEGIN PUBLIC KEY-----MFkwEwYHKoZIzj0CAQYIKoZIzj0DAQcDQgAEdlDsUIpBcMsRcjYeW9wmo9YKFSsfLRg0TGlm2uUMenxxGRiiKKF/BB18TO06cZJ92HGbnEdfh9Rygd3o5XaUlg==-----END PUBLIC KEY-----</v>
      </c>
    </row>
    <row r="26" spans="1:9">
      <c r="A26" t="s">
        <v>383</v>
      </c>
      <c r="B26" t="str" cm="1">
        <f t="array" ref="B26">Util_showFormula(C26)</f>
        <v>=C2</v>
      </c>
      <c r="C26" t="str">
        <f>C2</f>
        <v>-----BEGIN EC PRIVATE KEY-----MHcCAQEEIAlB93bN6RnTwuYebq9AIEUYTWLCQR20FKG/Jy9gCMrcoAoGCCqGSM49AwEHoUQDQgAEkerBdkk6Lw/+77HVzmcVOZsZgXoH1qmeEZb+cQUwg6bUihbEFQrIRSaIf/VQNUDqNZGFzdTOeNoEzVlbyrLPcw==-----END EC PRIVATE KEY-----</v>
      </c>
    </row>
    <row r="27" spans="1:9">
      <c r="A27" t="s">
        <v>380</v>
      </c>
      <c r="B27" t="str" cm="1">
        <f t="array" ref="B27">Util_showFormula(C27)</f>
        <v>HASH</v>
      </c>
      <c r="C27" t="s">
        <v>384</v>
      </c>
    </row>
    <row r="28" spans="1:9">
      <c r="A28" t="s">
        <v>315</v>
      </c>
      <c r="B28" t="str" cm="1">
        <f t="array" ref="B28">Util_showFormula(C28)</f>
        <v>SHA256</v>
      </c>
      <c r="C28" t="s">
        <v>186</v>
      </c>
    </row>
    <row r="29" spans="1:9">
      <c r="A29" t="s">
        <v>92</v>
      </c>
      <c r="B29" t="str" cm="1">
        <f t="array" ref="B29">Util_showFormula(C29)</f>
        <v>=C15</v>
      </c>
      <c r="C29" t="str">
        <f>C15</f>
        <v>00000001</v>
      </c>
    </row>
    <row r="30" spans="1:9">
      <c r="A30" t="s">
        <v>91</v>
      </c>
      <c r="B30" t="str" cm="1">
        <f t="array" ref="B30">Util_showFormula(C30)</f>
        <v>=C17</v>
      </c>
      <c r="C30" t="str">
        <f>C17</f>
        <v>4865726520697320736F6D65206F7468657220696E666F0A</v>
      </c>
      <c r="I30" t="s">
        <v>385</v>
      </c>
    </row>
    <row r="31" spans="1:9">
      <c r="B31" t="str" cm="1">
        <f t="array" ref="B31">Util_showFormula(C31)</f>
        <v>=EC_DeriveSharedSecret(C25,C26,C27,C28,C29,C30)</v>
      </c>
      <c r="C31" s="8" t="str" cm="1">
        <f t="array" ref="C31">EC_DeriveSharedSecret(C25,C26,C27,C28,C29,C30)</f>
        <v>4DE4852062066E36E495826C56C95F94DE0FA8AA88CADE83A30A657E79BA8DF6</v>
      </c>
      <c r="G31">
        <f>LEN(C30)</f>
        <v>48</v>
      </c>
    </row>
    <row r="32" spans="1:9">
      <c r="B32" t="str" cm="1">
        <f t="array" ref="B32">Util_showFormula(C32)</f>
        <v>=C19</v>
      </c>
      <c r="C32" t="str">
        <f>C19</f>
        <v>4DE4852062066E36E495826C56C95F94DE0FA8AA88CADE83A30A657E79BA8DF6</v>
      </c>
      <c r="G32">
        <f>LEN(C31)</f>
        <v>64</v>
      </c>
    </row>
    <row r="33" spans="1:3">
      <c r="B33" t="str" cm="1">
        <f t="array" ref="B33">Util_showFormula(C33)</f>
        <v>=IF(C31=C32,"Success","Fail")</v>
      </c>
      <c r="C33" t="str">
        <f>IF(C31=C32,"Success","Fail")</f>
        <v>Success</v>
      </c>
    </row>
    <row r="35" spans="1:3">
      <c r="A35" t="s">
        <v>382</v>
      </c>
      <c r="B35" t="str" cm="1">
        <f t="array" ref="B35">Util_showFormula(C35)</f>
        <v>=C25</v>
      </c>
      <c r="C35" t="str">
        <f>C25</f>
        <v>-----BEGIN PUBLIC KEY-----MFkwEwYHKoZIzj0CAQYIKoZIzj0DAQcDQgAEdlDsUIpBcMsRcjYeW9wmo9YKFSsfLRg0TGlm2uUMenxxGRiiKKF/BB18TO06cZJ92HGbnEdfh9Rygd3o5XaUlg==-----END PUBLIC KEY-----</v>
      </c>
    </row>
    <row r="36" spans="1:3">
      <c r="A36" t="s">
        <v>383</v>
      </c>
      <c r="B36" t="str" cm="1">
        <f t="array" ref="B36">Util_showFormula(C36)</f>
        <v>=C26</v>
      </c>
      <c r="C36" t="str">
        <f>C26</f>
        <v>-----BEGIN EC PRIVATE KEY-----MHcCAQEEIAlB93bN6RnTwuYebq9AIEUYTWLCQR20FKG/Jy9gCMrcoAoGCCqGSM49AwEHoUQDQgAEkerBdkk6Lw/+77HVzmcVOZsZgXoH1qmeEZb+cQUwg6bUihbEFQrIRSaIf/VQNUDqNZGFzdTOeNoEzVlbyrLPcw==-----END EC PRIVATE KEY-----</v>
      </c>
    </row>
    <row r="37" spans="1:3">
      <c r="A37" t="s">
        <v>380</v>
      </c>
      <c r="B37" t="str" cm="1">
        <f t="array" ref="B37">Util_showFormula(C37)</f>
        <v>RAW</v>
      </c>
      <c r="C37" t="s">
        <v>381</v>
      </c>
    </row>
    <row r="38" spans="1:3">
      <c r="A38" t="s">
        <v>315</v>
      </c>
      <c r="B38" t="str" cm="1">
        <f t="array" ref="B38">Util_showFormula(C38)</f>
        <v>=C28</v>
      </c>
      <c r="C38" t="str">
        <f>C28</f>
        <v>SHA256</v>
      </c>
    </row>
    <row r="39" spans="1:3">
      <c r="A39" t="s">
        <v>92</v>
      </c>
      <c r="B39" t="str" cm="1">
        <f t="array" ref="B39">Util_showFormula(C39)</f>
        <v>=C29</v>
      </c>
      <c r="C39" t="str">
        <f>C29</f>
        <v>00000001</v>
      </c>
    </row>
    <row r="40" spans="1:3">
      <c r="A40" t="s">
        <v>91</v>
      </c>
      <c r="B40" t="str" cm="1">
        <f t="array" ref="B40">Util_showFormula(C40)</f>
        <v>=C30</v>
      </c>
      <c r="C40" t="str">
        <f>C30</f>
        <v>4865726520697320736F6D65206F7468657220696E666F0A</v>
      </c>
    </row>
    <row r="41" spans="1:3">
      <c r="B41" t="str" cm="1">
        <f t="array" ref="B41">Util_showFormula(C41)</f>
        <v>=EC_DeriveSharedSecret(C35,C36,C37,C38,C39,C40)</v>
      </c>
      <c r="C41" s="8" t="str" cm="1">
        <f t="array" ref="C41">EC_DeriveSharedSecret(C35,C36,C37,C38,C39,C40)</f>
        <v>CA3C2944EF4D7FCACFA06AE491CE303FAE8F7CDA53F99F8C5F71B4FCBCB8BC50</v>
      </c>
    </row>
    <row r="42" spans="1:3">
      <c r="A42" s="8"/>
      <c r="B42" t="str" cm="1">
        <f t="array" ref="B42">Util_showFormula(C42)</f>
        <v>=C3</v>
      </c>
      <c r="C42" t="str">
        <f>C3</f>
        <v>CA3C2944EF4D7FCACFA06AE491CE303FAE8F7CDA53F99F8C5F71B4FCBCB8BC50</v>
      </c>
    </row>
    <row r="43" spans="1:3">
      <c r="B43" t="str" cm="1">
        <f t="array" ref="B43">Util_showFormula(C43)</f>
        <v>=IF(C41=C42,"Success","Fail")</v>
      </c>
      <c r="C43" t="str">
        <f>IF(C41=C42,"Success","Fail")</f>
        <v>Success</v>
      </c>
    </row>
    <row r="46" spans="1:3">
      <c r="A46" t="s">
        <v>408</v>
      </c>
    </row>
    <row r="48" spans="1:3">
      <c r="A48" t="s">
        <v>406</v>
      </c>
      <c r="B48" t="str" cm="1">
        <f t="array" ref="B48">Util_showFormula(C48)</f>
        <v>MEYCIQDwOh0NpUfBWMdSuj7a6fiQMR1o3yCM227HGgKmeUwYcQIhAMzxXZatKbQ5HqsX+YHgyxQGW9+fAgOUtH7+sVZ2Z9Gz</v>
      </c>
      <c r="C48" t="s">
        <v>402</v>
      </c>
    </row>
    <row r="49" spans="1:3">
      <c r="C49" s="8" t="s">
        <v>411</v>
      </c>
    </row>
    <row r="50" spans="1:3">
      <c r="A50" t="s">
        <v>0</v>
      </c>
      <c r="C50" t="str" cm="1">
        <f t="array" ref="C50">Util_AsciiToHexStr(C49)</f>
        <v>3132333435313233343531323334353132333435</v>
      </c>
    </row>
    <row r="51" spans="1:3">
      <c r="A51" t="s">
        <v>315</v>
      </c>
      <c r="C51" t="s">
        <v>186</v>
      </c>
    </row>
    <row r="52" spans="1:3">
      <c r="A52" t="s">
        <v>205</v>
      </c>
      <c r="B52" t="str" cm="1">
        <f t="array" ref="B52">Util_showFormula(C52)</f>
        <v>=VLOOKUP(A52,Keys,2,FALSE)</v>
      </c>
      <c r="C52" t="str">
        <f>VLOOKUP(A52,Keys,2,FALSE)</f>
        <v>-----BEGIN PUBLIC KEY-----MFkwEwYHKoZIzj0CAQYIKoZIzj0DAQcDQgAEkerBdkk6Lw/+77HVzmcVOZsZgXoH1qmeEZb+cQUwg6bUihbEFQrIRSaIf/VQNUDqNZGFzdTOeNoEzVlbyrLPcw==-----END PUBLIC KEY-----</v>
      </c>
    </row>
    <row r="53" spans="1:3">
      <c r="A53" t="s">
        <v>187</v>
      </c>
      <c r="B53" t="str" cm="1">
        <f t="array" ref="B53">Util_showFormula(C53)</f>
        <v>=Hash_Calculate(C51,C50)</v>
      </c>
      <c r="C53" t="str" cm="1">
        <f t="array" ref="C53">Hash_Calculate(C51,C50)</f>
        <v>081115DF5D291465362F17C4B7B182DA6AAA6D8147A0FEC1ACA8435EEC404612</v>
      </c>
    </row>
    <row r="54" spans="1:3">
      <c r="A54" t="s">
        <v>188</v>
      </c>
      <c r="B54" t="str" cm="1">
        <f t="array" ref="B54">Util_showFormula(C54)</f>
        <v>=util_Base64ToHexStr(C48)</v>
      </c>
      <c r="C54" t="str" cm="1">
        <f t="array" ref="C54">util_Base64ToHexStr(C48)</f>
        <v>3046022100F03A1D0DA547C158C752BA3EDAE9F890311D68DF208CDB6EC71A02A6794C1871022100CCF15D96AD29B4391EAB17F981E0CB14065BDF9F020394B47EFEB1567667D1B3</v>
      </c>
    </row>
    <row r="55" spans="1:3">
      <c r="A55" t="s">
        <v>409</v>
      </c>
      <c r="B55" t="str" cm="1">
        <f t="array" ref="B55">Util_showFormula(C55)</f>
        <v>DER</v>
      </c>
      <c r="C55" t="s">
        <v>404</v>
      </c>
    </row>
    <row r="56" spans="1:3">
      <c r="A56" t="s">
        <v>405</v>
      </c>
      <c r="B56" t="str" cm="1">
        <f t="array" ref="B56">Util_showFormula(C56)</f>
        <v>OK</v>
      </c>
      <c r="C56" t="s">
        <v>401</v>
      </c>
    </row>
    <row r="57" spans="1:3">
      <c r="A57" t="s">
        <v>405</v>
      </c>
      <c r="B57" t="str" cm="1">
        <f t="array" ref="B57">Util_showFormula(C57)</f>
        <v>=EC_VerifySignature(C52,C53,C54,C55,C56)</v>
      </c>
      <c r="C57" t="str" cm="1">
        <f t="array" ref="C57">EC_VerifySignature(C52,C53,C54,C55,C56)</f>
        <v>OK</v>
      </c>
    </row>
    <row r="61" spans="1:3">
      <c r="A61" t="s">
        <v>407</v>
      </c>
    </row>
    <row r="62" spans="1:3">
      <c r="A62" t="s">
        <v>0</v>
      </c>
      <c r="B62" t="str" cm="1">
        <f t="array" ref="B62">Util_showFormula(C62)</f>
        <v>=C50</v>
      </c>
      <c r="C62" t="str">
        <f>C50</f>
        <v>3132333435313233343531323334353132333435</v>
      </c>
    </row>
    <row r="63" spans="1:3">
      <c r="A63" t="s">
        <v>315</v>
      </c>
      <c r="B63" t="str" cm="1">
        <f t="array" ref="B63">Util_showFormula(C63)</f>
        <v>SHA256</v>
      </c>
      <c r="C63" t="s">
        <v>186</v>
      </c>
    </row>
    <row r="64" spans="1:3">
      <c r="A64" t="s">
        <v>206</v>
      </c>
      <c r="B64" t="str" cm="1">
        <f t="array" ref="B64">Util_showFormula(C64)</f>
        <v>=VLOOKUP(A64,Keys,2,FALSE)</v>
      </c>
      <c r="C64" t="str">
        <f>VLOOKUP(A64,Keys,2,FALSE)</f>
        <v>-----BEGIN EC PRIVATE KEY-----MHcCAQEEIAlB93bN6RnTwuYebq9AIEUYTWLCQR20FKG/Jy9gCMrcoAoGCCqGSM49AwEHoUQDQgAEkerBdkk6Lw/+77HVzmcVOZsZgXoH1qmeEZb+cQUwg6bUihbEFQrIRSaIf/VQNUDqNZGFzdTOeNoEzVlbyrLPcw==-----END EC PRIVATE KEY-----</v>
      </c>
    </row>
    <row r="65" spans="1:3">
      <c r="A65" t="s">
        <v>187</v>
      </c>
      <c r="B65" t="str" cm="1">
        <f t="array" ref="B65">Util_showFormula(C65)</f>
        <v>=Hash_Calculate(C63,C62)</v>
      </c>
      <c r="C65" t="str" cm="1">
        <f t="array" ref="C65">Hash_Calculate(C63,C62)</f>
        <v>081115DF5D291465362F17C4B7B182DA6AAA6D8147A0FEC1ACA8435EEC404612</v>
      </c>
    </row>
    <row r="66" spans="1:3">
      <c r="A66" t="s">
        <v>410</v>
      </c>
      <c r="B66" t="str" cm="1">
        <f t="array" ref="B66">Util_showFormula(C66)</f>
        <v>DER</v>
      </c>
      <c r="C66" t="s">
        <v>404</v>
      </c>
    </row>
    <row r="67" spans="1:3">
      <c r="A67" t="s">
        <v>412</v>
      </c>
      <c r="B67" t="str" cm="1">
        <f t="array" ref="B67">Util_showFormula(C67)</f>
        <v>=EC_SignHash(C64,C65,C66)</v>
      </c>
      <c r="C67" t="str" cm="1">
        <f t="array" ref="C67">EC_SignHash(C64,C65,C66)</f>
        <v>3044022011799736B67CEEC699DBF4F9995AEC9AF3219B8F13357548885C77E44277213702202A9916E4B4E9C10ECE39625D923CF1B79ABFDA6A3FB26FA32CEE38863C97CFB3</v>
      </c>
    </row>
    <row r="68" spans="1:3">
      <c r="A68" t="s">
        <v>400</v>
      </c>
      <c r="B68" t="str" cm="1">
        <f t="array" ref="B68">Util_showFormula(C68)</f>
        <v>=Util_HexStrToBase64(C67)</v>
      </c>
      <c r="C68" t="str" cm="1">
        <f t="array" ref="C68">Util_HexStrToBase64(C67)</f>
        <v>MEQCIBF5lza2fO7Gmdv0+Zla7JrzIZuPEzV1SIhcd+RCdyE3AiAqmRbktOnBDs45_x000D_
Yl2SPPG3mr/aaj+yb6Ms7jiGPJfPsw==</v>
      </c>
    </row>
    <row r="69" spans="1:3">
      <c r="A69" t="s">
        <v>413</v>
      </c>
    </row>
    <row r="73" spans="1:3">
      <c r="C73" t="s">
        <v>403</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24FBE-E6D9-46BB-8EFE-6F605B0C1CC7}">
  <sheetPr codeName="Sheet13"/>
  <dimension ref="A1:C9"/>
  <sheetViews>
    <sheetView workbookViewId="0"/>
  </sheetViews>
  <sheetFormatPr defaultRowHeight="14.4"/>
  <cols>
    <col min="1" max="1" width="14.77734375" bestFit="1" customWidth="1"/>
    <col min="2" max="2" width="50.33203125" customWidth="1"/>
  </cols>
  <sheetData>
    <row r="1" spans="1:3">
      <c r="A1" t="s">
        <v>201</v>
      </c>
      <c r="B1" t="s">
        <v>202</v>
      </c>
    </row>
    <row r="2" spans="1:3">
      <c r="A2" t="s">
        <v>261</v>
      </c>
      <c r="B2" t="str">
        <f>_xlfn.CONCAT(FromOpenssl!B31:B39)</f>
        <v>-----BEGIN PUBLIC KEY-----MIIBIjANBgkqhkiG9w0BAQEFAAOCAQ8AMIIBCgKCAQEAowEAssi1xLGgl3Mrttp/F/Fcv3wR7teT8OEcgWp68cs9ySyEhtx3cjvnXoVDJDXLC1DO/DIKiJunqyQVoOUR6l/k+OKgqNFgcRPy3g/8SpYp/VY4w5oaWx+4nB42Fww8d8spjkW9h6vM9cfzaTjWJMZgsxLDA+6K/mPNG50sUYPZX+PxqAVQTzWqYbJCeelJGH9wiWgVPC7RqE+NFqKeT1HVfplvOquwyBhVLYuph8poNle+Op3xBb0yjqb28m58tu0T6JJHRpm58ZFGCMTjE9rfztmsQlJfOm8tEi4dl8zKqxKcI9zqBikKUepPYLLdsviE/PTF5w4zZtkaHQ/2XwIDAQAB-----END PUBLIC KEY-----</v>
      </c>
    </row>
    <row r="3" spans="1:3">
      <c r="A3" t="s">
        <v>262</v>
      </c>
      <c r="B3" t="str">
        <f>_xlfn.CONCAT(FromOpenssl!B2:B29)</f>
        <v>-----BEGIN PRIVATE KEY-----MIIEvgIBADANBgkqhkiG9w0BAQEFAASCBKgwggSkAgEAAoIBAQCjAQCyyLXEsaCXcyu22n8X8Vy/fBHu15Pw4RyBanrxyz3JLISG3HdyO+dehUMkNcsLUM78MgqIm6erJBWg5RHqX+T44qCo0WBxE/LeD/xKlin9VjjDmhpbH7icHjYXDDx3yymORb2Hq8z1x/NpONYkxmCzEsMD7or+Y80bnSxRg9lf4/GoBVBPNaphskJ56UkYf3CJaBU8LtGoT40Wop5PUdV+mW86q7DIGFUti6mHymg2V746nfEFvTKOpvbybny27RPokkdGmbnxkUYIxOMT2t/O2axCUl86by0SLh2XzMqrEpwj3OoGKQpR6k9gst2y+IT89MXnDjNm2RodD/ZfAgMBAAECggEBAIcDTpvHSV9pLTYkrAGhywF+5q6oSoZFQ4GSQ7UiCEF8cWnPGNpHhBw3Z/XPdYRplguCXF9h532tR9ymX8/LzOIPma1YsXADNNmUh2bNYNA6vv7aStwhKVFu3c9Z6r1+YhtrSLlSJKFaeMLfYks2S5FcSz4n/SWlkLUS3xHPRqUguQhNaz2wokQG0gYzDHIMJvHyL0EgE9w+LZ2jnMQH6jm58tsGgLXsuK41oAR7cfFHpyBomQLmWfbQBGpBAQrIzEImlg2H7BJgyej6eT2NTGcRcT6F7Nw7t/pcCwqGtQnOPrGzBEPyQuhwSCzrF2Apj2uxpxRpZDaIjFFcjAlUAtECgYEA0bT3s5SY6NxS3gO47leHVyVlfYfE/WKDENe/4tW+OSldmZbvzm8sAYDslUR3mtvZ0Fb34hhLQNslSlFys2col439KUVr1Fa0us5JXXSYupG2sicxbgN1j6e+i5xciNtq5pdNc7jAUdS7F9HoAjkvkoT++dZVZJWR8+gSDLkJgYcCgYEAxvy9MCm/7NQ5atSFM/JtX0Ch2GR0giJCgZ24q0J6byqyke4ZKdEn7RAfvw04Q9PHKm/YslabnNlI0+qcRQkJOSl4h4eMI0XHWa/E/GQE8wzs3NO95uxCNYdEhMZRVKvEOPAJxrZDh9uyKpihTjWkcwT1i6Gwk5igsbVWf230+mkCgYAWpsyGuktWA85zqsVEAXJeCG0RBSRTFlv/6r4QW3QjqoMwvuwCSWHge7OSYAXnVU4OwgYehu9B/ynlAC06ka8Bx9WLqrL+CauV7ghgruJ8bJbmYXNmZbtCHCVp4SbhpYnDhJ5aHJ+xdyAKb6L28oRf+DuucudgaQON7AhfFXGgawKBgFZbdVejptGHQOvmE3D58xF1oUeiQRYA/E/4PR7GGRCJvTmr1Wvag7NUXhKyEAsPq831AFxVTe+CNSMTHIKxazlNkCtxXhYowF1h9OF8HtHEeD9V/YJsYkeMzuW4k69lZCE5u2Rr0V7yr53g45Bno1jvfAj/QPytLoAxLLrc44aRAoGBAJje8xMhvLu6Ygom1srHqSmfmcHUbeZAFP5/K5Ej0lhBya+B/3ImW7BOm10OX2UVSkIID4Qz8KRDTNtdl2kS2duHhPGG61vqYWq9O8WR83iJNuNkD4qq/gfx0WnY0YyYpdmXw0vy1Vc5RYBRkstkyHcHzfR/OIXga34bdHMqOrtE-----END PRIVATE KEY-----</v>
      </c>
    </row>
    <row r="4" spans="1:3">
      <c r="A4" t="s">
        <v>263</v>
      </c>
      <c r="B4" t="str">
        <f>_xlfn.CONCAT(FromOpenssl!B70:B78)</f>
        <v>-----BEGIN PUBLIC KEY-----MIIBIjANBgkqhkiG9w0BAQEFAAOCAQ8AMIIBCgKCAQEA9AUl7E7QhijsIj4gI5PmgV2osljKURxjyBjB1U+679dBTSFchvsVt2vWUYMJ5pDIXkM0N/M0VLKaIDy7P1LPUNk288T389CFlRlvSIIyrc362fp+AGF/kZGKsyUQgXa4PkqVoPjXQGQbPKmG4E+6A97z0AlEk9MV669rSEQXrFqxa8YqVy3nI5H+sVDC/hDhIv9J4qwEIQXjwZic/cN+GU/k6q5HMloWALs26Lo4cBglJ3ceakmvvCJts94rj3XZyIUF9v9Noxlvb2TJ9fvN4wTVTqlnt11g3uGFPWYPXBb8r6sZbmJgcctTowiy4QGfWVGfdZbVqvK4CypXnhIDgQIDAQAB-----END PUBLIC KEY-----</v>
      </c>
    </row>
    <row r="5" spans="1:3">
      <c r="A5" t="s">
        <v>264</v>
      </c>
      <c r="B5" t="str">
        <f>_xlfn.CONCAT(FromOpenssl!B41:B68)</f>
        <v>-----BEGIN PRIVATE KEY-----MIIEvgIBADANBgkqhkiG9w0BAQEFAASCBKgwggSkAgEAAoIBAQD0BSXsTtCGKOwiPiAjk+aBXaiyWMpRHGPIGMHVT7rv10FNIVyG+xW3a9ZRgwnmkMheQzQ38zRUspogPLs/Us9Q2TbzxPfz0IWVGW9IgjKtzfrZ+n4AYX+RkYqzJRCBdrg+SpWg+NdAZBs8qYbgT7oD3vPQCUST0xXrr2tIRBesWrFrxipXLecjkf6xUML+EOEi/0nirAQhBePBmJz9w34ZT+TqrkcyWhYAuzboujhwGCUndx5qSa+8Im2z3iuPddnIhQX2/02jGW9vZMn1+83jBNVOqWe3XWDe4YU9Zg9cFvyvqxluYmBxy1OjCLLhAZ9ZUZ91ltWq8rgLKleeEgOBAgMBAAECggEBAN7qeQtXsHxuk9BwSnHV4aPaSIqsPB4+vhSEMUZJcK87SAdK67jPVLZbx8xs1bWQG8qov+JAxVR+V/gNIs0lPAhSdjXYgN51ZiKfup5VejB2U6uffk2gw6XafAdNW7e5GXSmM+x6hkDnck5HW9Q8YOS6XqZ0YPZdxc+pT2sT8UBbTMCtIJ1XPZGj9uZR41Vt5ZMwHt5/QiTkkb2oTSzyq19JwGwUiIerqY1mAX7Zu8v4JigqWd4bbx11R/k8tAC/Tn9FQ4iGbm6dBb38208KHaBMMHOSURvH5FO3E9/W+0yT3VsJlfO+ptgB6vx0lwHmLIdefuFK1Fz9juCkSOERh4UCgYEA++FwSVUyiocgJl2a4Ounp426SgatBTMrEqWSZ0X2eQYdFLv49keC+76PIc4GjI5/eDrvPPW9FbbhPcxUApcFJQtAydFswAE8JoBf4+o3vJ4P5ZFz0tc8tqVgJ0mHuhEAE6nZM6nuAJfDovs/QoIPNGcO/N0SnxheS8gGiLpypuMCgYEA+ALMrYkWStuPfP2IZ67M8hELQ74W09ftuy1IMqR4Pyf3bNAqgYEzZi28G3I8IyPlYu0nJQBWyYXp4Ltnd8IXR+q3mjLG5EbX7PCQgkL4twxX4l56z7eXUbwECOudza1w7c7ZDjvsa7GB48K29MITpQ4MyDeJt8XT+Bl6ZAWTlUsCgYBrxVyu89YpMYHPCJQBErNsXJbNn6eeJvOSCefnaib4R2Zf/cGbVqOzpShG1Yk10K63ubetRJO/27zqHSgA568a14LEF2hJiv26l4jv0sJAYPz6Q87j8pYWrBHFHZAGS8nVoAHAOkAMXuMlNA0wHsf0qvfdt5WFHv8Ru6cYD3aI8wKBgGqzqaOvqyuhsuYvnhQdnIc41gPbMK8L43f4T2uaXzGs3EKwfNki4R5A5wFX8I+dzf710TWWI8CoIKtTdXyMwL9sOHnbBr8Hy7Zg+YtRjPgUE2uNAoGDl1LO9V1xIX9v83oc2D3LgjgDMsLu7w/2v8TveohZfKLYNg4zx/hofcppAoGBAPDRwd2CaDa3TeL5x4Q7AR7dg+wgxXbgvE5GjqU+xHtoKkyWUFhKW/YdcWW97/jUghnEXQCzO7UB4ZRdMUrW5CO8nmZzHxJmn5Tn0QxoLf6NAK9c3w6jnK9cFJ1c6Ff52QQC/RdzAFmTN6ja5zI8MaF132r2WYPoWWpGPVaIWLZg-----END PRIVATE KEY-----</v>
      </c>
    </row>
    <row r="6" spans="1:3">
      <c r="A6" t="s">
        <v>203</v>
      </c>
      <c r="B6" t="str">
        <f>_xlfn.CONCAT(FromOpenssl!I94:I97)</f>
        <v>-----BEGIN PUBLIC KEY-----MFkwEwYHKoZIzj0CAQYIKoZIzj0DAQcDQgAEdlDsUIpBcMsRcjYeW9wmo9YKFSsfLRg0TGlm2uUMenxxGRiiKKF/BB18TO06cZJ92HGbnEdfh9Rygd3o5XaUlg==-----END PUBLIC KEY-----</v>
      </c>
      <c r="C6" t="str">
        <f>UPPER(SUBSTITUTE(SUBSTITUTE(_xlfn.CONCAT(FromOpenssl!A97:A101),":","")," ",""))</f>
        <v>047650EC508A4170CB1172361E5BDC26A3D60A152B1F2D18344C6966DAE50C7A7C711918A228A17F041D7C4CED3A71927DD8719B9C475F87D47281DDE8E5769496</v>
      </c>
    </row>
    <row r="7" spans="1:3">
      <c r="A7" t="s">
        <v>204</v>
      </c>
      <c r="B7" t="str">
        <f>_xlfn.CONCAT(FromOpenssl!I99:I103)</f>
        <v>-----BEGIN EC PRIVATE KEY-----MHcCAQEEINsSQ6WUXwl8cHmbMa2JeJ6XVCuePg25Ksd5GlUl+GM2oAoGCCqGSM49AwEHoUQDQgAEdlDsUIpBcMsRcjYeW9wmo9YKFSsfLRg0TGlm2uUMenxxGRiiKKF/BB18TO06cZJ92HGbnEdfh9Rygd3o5XaUlg==-----END EC PRIVATE KEY-----</v>
      </c>
      <c r="C7" t="str">
        <f>UPPER(SUBSTITUTE(SUBSTITUTE(_xlfn.CONCAT(FromOpenssl!A110:A112),":","")," ",""))</f>
        <v>DB1243A5945F097C70799B31AD89789E97542B9E3E0DB92AC7791A5525F86336</v>
      </c>
    </row>
    <row r="8" spans="1:3">
      <c r="A8" t="s">
        <v>205</v>
      </c>
      <c r="B8" t="str">
        <f>_xlfn.CONCAT(FromOpenssl!I105:I108)</f>
        <v>-----BEGIN PUBLIC KEY-----MFkwEwYHKoZIzj0CAQYIKoZIzj0DAQcDQgAEkerBdkk6Lw/+77HVzmcVOZsZgXoH1qmeEZb+cQUwg6bUihbEFQrIRSaIf/VQNUDqNZGFzdTOeNoEzVlbyrLPcw==-----END PUBLIC KEY-----</v>
      </c>
      <c r="C8" t="str">
        <f>UPPER(SUBSTITUTE(SUBSTITUTE(_xlfn.CONCAT(FromOpenssl!A124:A128),":","")," ",""))</f>
        <v>0491EAC176493A2F0FFEEFB1D5CE6715399B19817A07D6A99E1196FE71053083A6D48A16C4150AC84526887FF5503540EA359185CDD4CE78DA04CD595BCAB2CF73</v>
      </c>
    </row>
    <row r="9" spans="1:3">
      <c r="A9" t="s">
        <v>206</v>
      </c>
      <c r="B9" t="str">
        <f>_xlfn.CONCAT(FromOpenssl!I110:I114)</f>
        <v>-----BEGIN EC PRIVATE KEY-----MHcCAQEEIAlB93bN6RnTwuYebq9AIEUYTWLCQR20FKG/Jy9gCMrcoAoGCCqGSM49AwEHoUQDQgAEkerBdkk6Lw/+77HVzmcVOZsZgXoH1qmeEZb+cQUwg6bUihbEFQrIRSaIf/VQNUDqNZGFzdTOeNoEzVlbyrLPcw==-----END EC PRIVATE KEY-----</v>
      </c>
      <c r="C9" t="str">
        <f>UPPER(SUBSTITUTE(SUBSTITUTE(_xlfn.CONCAT(FromOpenssl!A134:A136),":","")," ",""))</f>
        <v>0941F776CDE919D3C2E61E6EAF402045184D62C2411DB414A1BF272F6008CADC</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3352A-1D04-49BB-821E-BD52D02A9FE3}">
  <sheetPr codeName="Sheet8"/>
  <dimension ref="A1:I145"/>
  <sheetViews>
    <sheetView workbookViewId="0">
      <selection activeCell="N6" sqref="N6:N10"/>
    </sheetView>
  </sheetViews>
  <sheetFormatPr defaultRowHeight="14.4"/>
  <cols>
    <col min="1" max="1" width="42" bestFit="1" customWidth="1"/>
    <col min="11" max="11" width="16.33203125" bestFit="1" customWidth="1"/>
    <col min="12" max="12" width="17.21875" bestFit="1" customWidth="1"/>
  </cols>
  <sheetData>
    <row r="1" spans="1:2">
      <c r="A1" t="s">
        <v>99</v>
      </c>
      <c r="B1" t="s">
        <v>265</v>
      </c>
    </row>
    <row r="2" spans="1:2">
      <c r="A2" t="s">
        <v>100</v>
      </c>
      <c r="B2" t="s">
        <v>46</v>
      </c>
    </row>
    <row r="3" spans="1:2">
      <c r="A3" t="s">
        <v>101</v>
      </c>
      <c r="B3" s="3" t="s">
        <v>47</v>
      </c>
    </row>
    <row r="4" spans="1:2">
      <c r="A4" t="s">
        <v>17</v>
      </c>
      <c r="B4" s="3" t="s">
        <v>48</v>
      </c>
    </row>
    <row r="5" spans="1:2">
      <c r="A5" t="s">
        <v>18</v>
      </c>
      <c r="B5" s="3" t="s">
        <v>49</v>
      </c>
    </row>
    <row r="6" spans="1:2">
      <c r="A6" t="s">
        <v>19</v>
      </c>
      <c r="B6" s="3" t="s">
        <v>50</v>
      </c>
    </row>
    <row r="7" spans="1:2">
      <c r="A7" t="s">
        <v>20</v>
      </c>
      <c r="B7" s="3" t="s">
        <v>51</v>
      </c>
    </row>
    <row r="8" spans="1:2">
      <c r="A8" t="s">
        <v>21</v>
      </c>
      <c r="B8" s="3" t="s">
        <v>52</v>
      </c>
    </row>
    <row r="9" spans="1:2">
      <c r="A9" t="s">
        <v>22</v>
      </c>
      <c r="B9" s="3" t="s">
        <v>53</v>
      </c>
    </row>
    <row r="10" spans="1:2">
      <c r="A10" t="s">
        <v>23</v>
      </c>
      <c r="B10" s="3" t="s">
        <v>54</v>
      </c>
    </row>
    <row r="11" spans="1:2">
      <c r="A11" t="s">
        <v>24</v>
      </c>
      <c r="B11" s="3" t="s">
        <v>55</v>
      </c>
    </row>
    <row r="12" spans="1:2">
      <c r="A12" t="s">
        <v>25</v>
      </c>
      <c r="B12" s="3" t="s">
        <v>56</v>
      </c>
    </row>
    <row r="13" spans="1:2">
      <c r="A13" t="s">
        <v>26</v>
      </c>
      <c r="B13" s="3" t="s">
        <v>57</v>
      </c>
    </row>
    <row r="14" spans="1:2">
      <c r="A14" t="s">
        <v>27</v>
      </c>
      <c r="B14" s="3" t="s">
        <v>58</v>
      </c>
    </row>
    <row r="15" spans="1:2">
      <c r="A15" t="s">
        <v>28</v>
      </c>
      <c r="B15" s="3" t="s">
        <v>59</v>
      </c>
    </row>
    <row r="16" spans="1:2">
      <c r="A16" t="s">
        <v>29</v>
      </c>
      <c r="B16" s="3" t="s">
        <v>60</v>
      </c>
    </row>
    <row r="17" spans="1:2">
      <c r="A17" t="s">
        <v>30</v>
      </c>
      <c r="B17" s="3" t="s">
        <v>61</v>
      </c>
    </row>
    <row r="18" spans="1:2">
      <c r="A18" t="s">
        <v>31</v>
      </c>
      <c r="B18" s="3" t="s">
        <v>62</v>
      </c>
    </row>
    <row r="19" spans="1:2">
      <c r="A19" t="s">
        <v>32</v>
      </c>
      <c r="B19" s="3" t="s">
        <v>63</v>
      </c>
    </row>
    <row r="20" spans="1:2">
      <c r="A20" t="s">
        <v>33</v>
      </c>
      <c r="B20" s="3" t="s">
        <v>64</v>
      </c>
    </row>
    <row r="21" spans="1:2">
      <c r="A21" t="s">
        <v>34</v>
      </c>
      <c r="B21" s="3" t="s">
        <v>65</v>
      </c>
    </row>
    <row r="22" spans="1:2">
      <c r="A22" t="s">
        <v>102</v>
      </c>
      <c r="B22" s="3" t="s">
        <v>66</v>
      </c>
    </row>
    <row r="23" spans="1:2">
      <c r="A23" t="s">
        <v>103</v>
      </c>
      <c r="B23" s="3" t="s">
        <v>67</v>
      </c>
    </row>
    <row r="24" spans="1:2">
      <c r="A24" t="s">
        <v>104</v>
      </c>
      <c r="B24" s="3" t="s">
        <v>68</v>
      </c>
    </row>
    <row r="25" spans="1:2">
      <c r="A25" t="s">
        <v>105</v>
      </c>
      <c r="B25" s="3" t="s">
        <v>69</v>
      </c>
    </row>
    <row r="26" spans="1:2">
      <c r="A26" t="s">
        <v>106</v>
      </c>
      <c r="B26" s="3" t="s">
        <v>70</v>
      </c>
    </row>
    <row r="27" spans="1:2">
      <c r="A27" t="s">
        <v>107</v>
      </c>
      <c r="B27" s="3" t="s">
        <v>71</v>
      </c>
    </row>
    <row r="28" spans="1:2">
      <c r="A28" t="s">
        <v>108</v>
      </c>
      <c r="B28" s="3" t="s">
        <v>72</v>
      </c>
    </row>
    <row r="29" spans="1:2">
      <c r="A29" t="s">
        <v>109</v>
      </c>
      <c r="B29" s="3" t="s">
        <v>73</v>
      </c>
    </row>
    <row r="30" spans="1:2">
      <c r="A30" t="s">
        <v>110</v>
      </c>
      <c r="B30" s="3" t="s">
        <v>266</v>
      </c>
    </row>
    <row r="31" spans="1:2">
      <c r="A31" t="s">
        <v>111</v>
      </c>
      <c r="B31" s="3" t="s">
        <v>74</v>
      </c>
    </row>
    <row r="32" spans="1:2">
      <c r="A32" t="s">
        <v>112</v>
      </c>
      <c r="B32" s="3" t="s">
        <v>75</v>
      </c>
    </row>
    <row r="33" spans="1:2">
      <c r="A33" t="s">
        <v>113</v>
      </c>
      <c r="B33" s="3" t="s">
        <v>76</v>
      </c>
    </row>
    <row r="34" spans="1:2">
      <c r="A34" t="s">
        <v>114</v>
      </c>
      <c r="B34" s="3" t="s">
        <v>77</v>
      </c>
    </row>
    <row r="35" spans="1:2">
      <c r="A35" t="s">
        <v>115</v>
      </c>
      <c r="B35" s="3" t="s">
        <v>78</v>
      </c>
    </row>
    <row r="36" spans="1:2">
      <c r="A36" t="s">
        <v>116</v>
      </c>
      <c r="B36" s="3" t="s">
        <v>79</v>
      </c>
    </row>
    <row r="37" spans="1:2">
      <c r="A37" t="s">
        <v>117</v>
      </c>
      <c r="B37" s="3" t="s">
        <v>80</v>
      </c>
    </row>
    <row r="38" spans="1:2">
      <c r="A38" t="s">
        <v>118</v>
      </c>
      <c r="B38" s="3" t="s">
        <v>81</v>
      </c>
    </row>
    <row r="39" spans="1:2">
      <c r="A39" t="s">
        <v>119</v>
      </c>
      <c r="B39" s="3" t="s">
        <v>82</v>
      </c>
    </row>
    <row r="40" spans="1:2">
      <c r="A40" t="s">
        <v>120</v>
      </c>
      <c r="B40" s="3" t="s">
        <v>267</v>
      </c>
    </row>
    <row r="41" spans="1:2">
      <c r="A41" t="s">
        <v>121</v>
      </c>
      <c r="B41" s="3" t="s">
        <v>46</v>
      </c>
    </row>
    <row r="42" spans="1:2">
      <c r="A42" t="s">
        <v>122</v>
      </c>
      <c r="B42" s="12" t="s">
        <v>236</v>
      </c>
    </row>
    <row r="43" spans="1:2">
      <c r="A43" t="s">
        <v>123</v>
      </c>
      <c r="B43" s="12" t="s">
        <v>237</v>
      </c>
    </row>
    <row r="44" spans="1:2">
      <c r="A44" t="s">
        <v>124</v>
      </c>
      <c r="B44" s="12" t="s">
        <v>238</v>
      </c>
    </row>
    <row r="45" spans="1:2">
      <c r="A45" t="s">
        <v>125</v>
      </c>
      <c r="B45" s="12" t="s">
        <v>239</v>
      </c>
    </row>
    <row r="46" spans="1:2">
      <c r="A46" t="s">
        <v>126</v>
      </c>
      <c r="B46" s="12" t="s">
        <v>240</v>
      </c>
    </row>
    <row r="47" spans="1:2">
      <c r="A47" t="s">
        <v>127</v>
      </c>
      <c r="B47" s="12" t="s">
        <v>241</v>
      </c>
    </row>
    <row r="48" spans="1:2">
      <c r="A48" t="s">
        <v>128</v>
      </c>
      <c r="B48" s="12" t="s">
        <v>242</v>
      </c>
    </row>
    <row r="49" spans="1:2">
      <c r="A49" t="s">
        <v>129</v>
      </c>
      <c r="B49" s="12" t="s">
        <v>243</v>
      </c>
    </row>
    <row r="50" spans="1:2">
      <c r="A50" t="s">
        <v>130</v>
      </c>
      <c r="B50" s="12" t="s">
        <v>244</v>
      </c>
    </row>
    <row r="51" spans="1:2">
      <c r="A51" t="s">
        <v>131</v>
      </c>
      <c r="B51" s="12" t="s">
        <v>245</v>
      </c>
    </row>
    <row r="52" spans="1:2">
      <c r="A52" t="s">
        <v>132</v>
      </c>
      <c r="B52" s="12" t="s">
        <v>246</v>
      </c>
    </row>
    <row r="53" spans="1:2">
      <c r="A53" t="s">
        <v>133</v>
      </c>
      <c r="B53" s="12" t="s">
        <v>247</v>
      </c>
    </row>
    <row r="54" spans="1:2">
      <c r="A54" t="s">
        <v>134</v>
      </c>
      <c r="B54" s="12" t="s">
        <v>248</v>
      </c>
    </row>
    <row r="55" spans="1:2">
      <c r="A55" t="s">
        <v>135</v>
      </c>
      <c r="B55" s="12" t="s">
        <v>249</v>
      </c>
    </row>
    <row r="56" spans="1:2">
      <c r="A56" t="s">
        <v>136</v>
      </c>
      <c r="B56" s="12" t="s">
        <v>250</v>
      </c>
    </row>
    <row r="57" spans="1:2">
      <c r="A57" t="s">
        <v>137</v>
      </c>
      <c r="B57" s="12" t="s">
        <v>251</v>
      </c>
    </row>
    <row r="58" spans="1:2">
      <c r="A58" t="s">
        <v>138</v>
      </c>
      <c r="B58" s="12" t="s">
        <v>252</v>
      </c>
    </row>
    <row r="59" spans="1:2">
      <c r="A59" t="s">
        <v>139</v>
      </c>
      <c r="B59" s="12" t="s">
        <v>276</v>
      </c>
    </row>
    <row r="60" spans="1:2">
      <c r="A60" t="s">
        <v>140</v>
      </c>
      <c r="B60" s="12" t="s">
        <v>253</v>
      </c>
    </row>
    <row r="61" spans="1:2">
      <c r="A61" t="s">
        <v>141</v>
      </c>
      <c r="B61" s="12" t="s">
        <v>254</v>
      </c>
    </row>
    <row r="62" spans="1:2">
      <c r="A62" t="s">
        <v>142</v>
      </c>
      <c r="B62" s="12" t="s">
        <v>255</v>
      </c>
    </row>
    <row r="63" spans="1:2">
      <c r="A63" t="s">
        <v>143</v>
      </c>
      <c r="B63" s="12" t="s">
        <v>256</v>
      </c>
    </row>
    <row r="64" spans="1:2">
      <c r="A64" t="s">
        <v>144</v>
      </c>
      <c r="B64" s="12" t="s">
        <v>257</v>
      </c>
    </row>
    <row r="65" spans="1:3">
      <c r="A65" t="s">
        <v>145</v>
      </c>
      <c r="B65" s="12" t="s">
        <v>258</v>
      </c>
    </row>
    <row r="66" spans="1:3">
      <c r="A66" t="s">
        <v>146</v>
      </c>
      <c r="B66" s="12" t="s">
        <v>259</v>
      </c>
    </row>
    <row r="67" spans="1:3">
      <c r="A67" t="s">
        <v>147</v>
      </c>
      <c r="B67" s="12" t="s">
        <v>260</v>
      </c>
    </row>
    <row r="68" spans="1:3">
      <c r="A68" t="s">
        <v>148</v>
      </c>
      <c r="B68" s="12" t="s">
        <v>73</v>
      </c>
    </row>
    <row r="69" spans="1:3">
      <c r="A69" t="s">
        <v>149</v>
      </c>
      <c r="B69" s="3" t="s">
        <v>268</v>
      </c>
    </row>
    <row r="70" spans="1:3">
      <c r="A70" t="s">
        <v>150</v>
      </c>
      <c r="B70" s="3" t="s">
        <v>74</v>
      </c>
    </row>
    <row r="71" spans="1:3">
      <c r="A71" t="s">
        <v>151</v>
      </c>
      <c r="B71" s="3" t="s">
        <v>269</v>
      </c>
    </row>
    <row r="72" spans="1:3">
      <c r="A72" t="s">
        <v>152</v>
      </c>
      <c r="B72" s="3" t="s">
        <v>270</v>
      </c>
    </row>
    <row r="73" spans="1:3">
      <c r="A73" t="s">
        <v>153</v>
      </c>
      <c r="B73" s="3" t="s">
        <v>271</v>
      </c>
    </row>
    <row r="74" spans="1:3">
      <c r="A74" t="s">
        <v>154</v>
      </c>
      <c r="B74" s="3" t="s">
        <v>272</v>
      </c>
    </row>
    <row r="75" spans="1:3">
      <c r="A75" t="s">
        <v>155</v>
      </c>
      <c r="B75" s="3" t="s">
        <v>273</v>
      </c>
    </row>
    <row r="76" spans="1:3">
      <c r="A76" t="s">
        <v>156</v>
      </c>
      <c r="B76" s="3" t="s">
        <v>274</v>
      </c>
    </row>
    <row r="77" spans="1:3">
      <c r="A77" t="s">
        <v>157</v>
      </c>
      <c r="B77" s="3" t="s">
        <v>275</v>
      </c>
    </row>
    <row r="78" spans="1:3">
      <c r="A78" t="s">
        <v>158</v>
      </c>
      <c r="B78" s="3" t="s">
        <v>82</v>
      </c>
    </row>
    <row r="79" spans="1:3">
      <c r="A79" t="s">
        <v>159</v>
      </c>
    </row>
    <row r="80" spans="1:3">
      <c r="A80" t="s">
        <v>160</v>
      </c>
      <c r="B80" t="s">
        <v>44</v>
      </c>
      <c r="C80" t="str">
        <f>SUBSTITUTE(SUBSTITUTE(_xlfn.CONCAT(A4:A21),":","")," ","")</f>
        <v>00a30100b2c8b5c4b1a097732bb6da7f17f15cbf7c11eed793f0e11c816a7af1cb3dc92c8486dc77723be75e85432435cb0b50cefc320a889ba7ab2415a0e511ea5fe4f8e2a0a8d1607113f2de0ffc4a9629fd5638c39a1a5b1fb89c1e36170c3c77cb298e45bd87abccf5c7f36938d624c660b312c303ee8afe63cd1b9d2c5183d95fe3f1a805504f35aa61b24279e949187f708968153c2ed1a84f8d16a29e4f51d57e996f3aabb0c818552d8ba987ca683657be3a9df105bd328ea6f6f26e7cb6ed13e892474699b9f1914608c4e313dadfced9ac42525f3a6f2d122e1d97cccaab129c23dcea06290a51ea4f60b2ddb2f884fcf4c5e70e3366d91a1d0ff65f</v>
      </c>
    </row>
    <row r="81" spans="1:9">
      <c r="A81" t="s">
        <v>161</v>
      </c>
      <c r="B81" t="s">
        <v>172</v>
      </c>
      <c r="C81" t="str">
        <f>"010001"</f>
        <v>010001</v>
      </c>
    </row>
    <row r="82" spans="1:9">
      <c r="A82" t="s">
        <v>162</v>
      </c>
      <c r="B82" t="s">
        <v>178</v>
      </c>
      <c r="C82" t="str">
        <f>SUBSTITUTE(SUBSTITUTE(_xlfn.CONCAT(A24:A41),":","")," ","")</f>
        <v>0087034e9bc7495f692d3624ac01a1cb017ee6aea84a864543819243b52208417c7169cf18da47841c3767f5cf758469960b825c5f61e77dad47dca65fcfcbcce20f99ad58b1700334d9948766cd60d03abefeda4adc2129516eddcf59eabd7e621b6b48b95224a15a78c2df624b364b915c4b3e27fd25a590b512df11cf46a520b9084d6b3db0a24406d206330c720c26f1f22f412013dc3e2d9da39cc407ea39b9f2db0680b5ecb8ae35a0047b71f147a720689902e659f6d0046a41010ac8cc4226960d87ec1260c9e8fa793d8d4c6711713e85ecdc3bb7fa5c0b0a86b509ce3eb1b30443f242e870482ceb1760298f6bb1a714696436888c515c8c095402d1</v>
      </c>
    </row>
    <row r="83" spans="1:9">
      <c r="A83" t="s">
        <v>163</v>
      </c>
      <c r="B83" t="s">
        <v>173</v>
      </c>
      <c r="C83" t="str">
        <f>SUBSTITUTE(SUBSTITUTE(_xlfn.CONCAT(A43:A51),":","")," ","")</f>
        <v>00d1b4f7b39498e8dc52de03b8ee57875725657d87c4fd628310d7bfe2d5be39295d9996efce6f2c0180ec9544779adbd9d056f7e2184b40db254a5172b36728978dfd29456bd456b4bace495d7498ba91b6b227316e03758fa7be8b9c5c88db6ae6974d73b8c051d4bb17d1e802392f9284fef9d655649591f3e8120cb9098187</v>
      </c>
    </row>
    <row r="84" spans="1:9">
      <c r="A84" t="s">
        <v>164</v>
      </c>
      <c r="B84" t="s">
        <v>174</v>
      </c>
      <c r="C84" t="str">
        <f>SUBSTITUTE(SUBSTITUTE(_xlfn.CONCAT(A53:A61),":","")," ","")</f>
        <v>00c6fcbd3029bfecd4396ad48533f26d5f40a1d86474822242819db8ab427a6f2ab291ee1929d127ed101fbf0d3843d3c72a6fd8b2569b9cd948d3ea9c45090939297887878c2345c759afc4fc6404f30cecdcd3bde6ec4235874484c65154abc438f009c6b64387dbb22a98a14e35a47304f58ba1b09398a0b1b5567f6df4fa69</v>
      </c>
    </row>
    <row r="85" spans="1:9">
      <c r="A85" t="s">
        <v>165</v>
      </c>
      <c r="B85" t="s">
        <v>175</v>
      </c>
      <c r="C85" t="str">
        <f>SUBSTITUTE(SUBSTITUTE(_xlfn.CONCAT(A63:A71),":","")," ","")</f>
        <v>16a6cc86ba4b5603ce73aac54401725e086d11052453165bffeabe105b7423aa8330beec024961e07bb3926005e7554e0ec2061e86ef41ff29e5002d3a91af01c7d58baab2fe09ab95ee0860aee27c6c96e661736665bb421c2569e126e1a589c3849e5a1c9fb177200a6fa2f6f2845ff83bae72e76069038dec085f1571a06b</v>
      </c>
    </row>
    <row r="86" spans="1:9">
      <c r="A86" t="s">
        <v>166</v>
      </c>
      <c r="B86" t="s">
        <v>176</v>
      </c>
      <c r="C86" t="str">
        <f>SUBSTITUTE(SUBSTITUTE(_xlfn.CONCAT(A73:A81),":","")," ","")</f>
        <v>565b7557a3a6d18740ebe61370f9f31175a147a2411600fc4ff83d1ec6191089bd39abd56bda83b3545e12b2100b0fabcdf5005c554def823523131c82b16b394d902b715e1628c05d61f4e17c1ed1c4783f55fd826c62478ccee5b893af65642139bb646bd15ef2af9de0e39067a358ef7c08ff40fcad2e80312cbadce38691</v>
      </c>
    </row>
    <row r="87" spans="1:9">
      <c r="A87" t="s">
        <v>167</v>
      </c>
      <c r="B87" t="s">
        <v>177</v>
      </c>
      <c r="C87" t="str">
        <f>SUBSTITUTE(SUBSTITUTE(_xlfn.CONCAT(A83:A91),":","")," ","")</f>
        <v>0098def31321bcbbba620a26d6cac7a9299f99c1d46de64014fe7f2b9123d25841c9af81ff72265bb04e9b5d0e5f65154a42080f8433f0a4434cdb5d976912d9db8784f186eb5bea616abd3bc591f3788936e3640f8aaafe07f1d169d8d18c98a5d997c34bf2d5573945805192cb64c87707cdf47f3885e06b7e1b74732a3abb44</v>
      </c>
    </row>
    <row r="88" spans="1:9">
      <c r="A88" t="s">
        <v>168</v>
      </c>
      <c r="B88" t="s">
        <v>179</v>
      </c>
      <c r="C88" t="str">
        <f>_xlfn.CONCAT(B3:B28)</f>
        <v>MIIEvgIBADANBgkqhkiG9w0BAQEFAASCBKgwggSkAgEAAoIBAQCjAQCyyLXEsaCXcyu22n8X8Vy/fBHu15Pw4RyBanrxyz3JLISG3HdyO+dehUMkNcsLUM78MgqIm6erJBWg5RHqX+T44qCo0WBxE/LeD/xKlin9VjjDmhpbH7icHjYXDDx3yymORb2Hq8z1x/NpONYkxmCzEsMD7or+Y80bnSxRg9lf4/GoBVBPNaphskJ56UkYf3CJaBU8LtGoT40Wop5PUdV+mW86q7DIGFUti6mHymg2V746nfEFvTKOpvbybny27RPokkdGmbnxkUYIxOMT2t/O2axCUl86by0SLh2XzMqrEpwj3OoGKQpR6k9gst2y+IT89MXnDjNm2RodD/ZfAgMBAAECggEBAIcDTpvHSV9pLTYkrAGhywF+5q6oSoZFQ4GSQ7UiCEF8cWnPGNpHhBw3Z/XPdYRplguCXF9h532tR9ymX8/LzOIPma1YsXADNNmUh2bNYNA6vv7aStwhKVFu3c9Z6r1+YhtrSLlSJKFaeMLfYks2S5FcSz4n/SWlkLUS3xHPRqUguQhNaz2wokQG0gYzDHIMJvHyL0EgE9w+LZ2jnMQH6jm58tsGgLXsuK41oAR7cfFHpyBomQLmWfbQBGpBAQrIzEImlg2H7BJgyej6eT2NTGcRcT6F7Nw7t/pcCwqGtQnOPrGzBEPyQuhwSCzrF2Apj2uxpxRpZDaIjFFcjAlUAtECgYEA0bT3s5SY6NxS3gO47leHVyVlfYfE/WKDENe/4tW+OSldmZbvzm8sAYDslUR3mtvZ0Fb34hhLQNslSlFys2col439KUVr1Fa0us5JXXSYupG2sicxbgN1j6e+i5xciNtq5pdNc7jAUdS7F9HoAjkvkoT++dZVZJWR8+gSDLkJgYcCgYEAxvy9MCm/7NQ5atSFM/JtX0Ch2GR0giJCgZ24q0J6byqyke4ZKdEn7RAfvw04Q9PHKm/YslabnNlI0+qcRQkJOSl4h4eMI0XHWa/E/GQE8wzs3NO95uxCNYdEhMZRVKvEOPAJxrZDh9uyKpihTjWkcwT1i6Gwk5igsbVWf230+mkCgYAWpsyGuktWA85zqsVEAXJeCG0RBSRTFlv/6r4QW3QjqoMwvuwCSWHge7OSYAXnVU4OwgYehu9B/ynlAC06ka8Bx9WLqrL+CauV7ghgruJ8bJbmYXNmZbtCHCVp4SbhpYnDhJ5aHJ+xdyAKb6L28oRf+DuucudgaQON7AhfFXGgawKBgFZbdVejptGHQOvmE3D58xF1oUeiQRYA/E/4PR7GGRCJvTmr1Wvag7NUXhKyEAsPq831AFxVTe+CNSMTHIKxazlNkCtxXhYowF1h9OF8HtHEeD9V/YJsYkeMzuW4k69lZCE5u2Rr0V7yr53g45Bno1jvfAj/QPytLoAxLLrc44aRAoGBAJje8xMhvLu6Ygom1srHqSmfmcHUbeZAFP5/K5Ej0lhBya+B/3ImW7BOm10OX2UVSkIID4Qz8KRDTNtdl2kS2duHhPGG61vqYWq9O8WR83iJNuNkD4qq/gfx0WnY0YyYpdmXw0vy1Vc5RYBRkstkyHcHzfR/OIXga34bdHMqOrtE</v>
      </c>
    </row>
    <row r="89" spans="1:9">
      <c r="A89" t="s">
        <v>169</v>
      </c>
      <c r="B89" t="s">
        <v>180</v>
      </c>
      <c r="C89" t="str" cm="1">
        <f t="array" ref="C89">util_Base64ToHexStr(C88)</f>
        <v>308204BE020100300D06092A864886F70D0101010500048204A8308204A40201000282010100A30100B2C8B5C4B1A097732BB6DA7F17F15CBF7C11EED793F0E11C816A7AF1CB3DC92C8486DC77723BE75E85432435CB0B50CEFC320A889BA7AB2415A0E511EA5FE4F8E2A0A8D1607113F2DE0FFC4A9629FD5638C39A1A5B1FB89C1E36170C3C77CB298E45BD87ABCCF5C7F36938D624C660B312C303EE8AFE63CD1B9D2C5183D95FE3F1A805504F35AA61B24279E949187F708968153C2ED1A84F8D16A29E4F51D57E996F3AABB0C818552D8BA987CA683657BE3A9DF105BD328EA6F6F26E7CB6ED13E892474699B9F1914608C4E313DADFCED9AC42525F3A6F2D122E1D97CCCAAB129C23DCEA06290A51EA4F60B2DDB2F884FCF4C5E70E3366D91A1D0FF65F0203010001028201010087034E9BC7495F692D3624AC01A1CB017EE6AEA84A864543819243B52208417C7169CF18DA47841C3767F5CF758469960B825C5F61E77DAD47DCA65FCFCBCCE20F99AD58B1700334D9948766CD60D03ABEFEDA4ADC2129516EDDCF59EABD7E621B6B48B95224A15A78C2DF624B364B915C4B3E27FD25A590B512DF11CF46A520B9084D6B3DB0A24406D206330C720C26F1F22F412013DC3E2D9DA39CC407EA39B9F2DB0680B5ECB8AE35A0047B71F147A720689902E659F6D0046A41010AC8CC4226960D87EC1260C9E8FA793D8D4C6711713E85ECDC3BB7FA5C0B0A86B509CE3EB1B30443F242E870482CEB1760298F6BB1A714696436888C515C8C095402D102818100D1B4F7B39498E8DC52DE03B8EE57875725657D87C4FD628310D7BFE2D5BE39295D9996EFCE6F2C0180EC9544779ADBD9D056F7E2184B40DB254A5172B36728978DFD29456BD456B4BACE495D7498BA91B6B227316E03758FA7BE8B9C5C88DB6AE6974D73B8C051D4BB17D1E802392F9284FEF9D655649591F3E8120CB909818702818100C6FCBD3029BFECD4396AD48533F26D5F40A1D86474822242819DB8AB427A6F2AB291EE1929D127ED101FBF0D3843D3C72A6FD8B2569B9CD948D3EA9C45090939297887878C2345C759AFC4FC6404F30CECDCD3BDE6EC4235874484C65154ABC438F009C6B64387DBB22A98A14E35A47304F58BA1B09398A0B1B5567F6DF4FA6902818016A6CC86BA4B5603CE73AAC54401725E086D11052453165BFFEABE105B7423AA8330BEEC024961E07BB3926005E7554E0EC2061E86EF41FF29E5002D3A91AF01C7D58BAAB2FE09AB95EE0860AEE27C6C96E661736665BB421C2569E126E1A589C3849E5A1C9FB177200A6FA2F6F2845FF83BAE72E76069038DEC085F1571A06B028180565B7557A3A6D18740EBE61370F9F31175A147A2411600FC4FF83D1EC6191089BD39ABD56BDA83B3545E12B2100B0FABCDF5005C554DEF823523131C82B16B394D902B715E1628C05D61F4E17C1ED1C4783F55FD826C62478CCEE5B893AF65642139BB646BD15EF2AF9DE0E39067A358EF7C08FF40FCAD2E80312CBADCE386910281810098DEF31321BCBBBA620A26D6CAC7A9299F99C1D46DE64014FE7F2B9123D25841C9AF81FF72265BB04E9B5D0E5F65154A42080F8433F0A4434CDB5D976912D9DB8784F186EB5BEA616ABD3BC591F3788936E3640F8AAAFE07F1D169D8D18C98A5D997C34BF2D5573945805192CB64C87707CDF47F3885E06B7E1B74732A3ABB44</v>
      </c>
    </row>
    <row r="90" spans="1:9">
      <c r="A90" t="s">
        <v>170</v>
      </c>
    </row>
    <row r="91" spans="1:9">
      <c r="A91" t="s">
        <v>171</v>
      </c>
    </row>
    <row r="93" spans="1:9">
      <c r="A93" t="s">
        <v>214</v>
      </c>
      <c r="I93" t="s">
        <v>197</v>
      </c>
    </row>
    <row r="94" spans="1:9">
      <c r="A94" t="s">
        <v>35</v>
      </c>
      <c r="I94" t="s">
        <v>74</v>
      </c>
    </row>
    <row r="95" spans="1:9">
      <c r="A95" t="s">
        <v>208</v>
      </c>
      <c r="I95" t="s">
        <v>83</v>
      </c>
    </row>
    <row r="96" spans="1:9">
      <c r="A96" t="s">
        <v>38</v>
      </c>
      <c r="I96" t="s">
        <v>84</v>
      </c>
    </row>
    <row r="97" spans="1:9">
      <c r="A97" t="s">
        <v>209</v>
      </c>
      <c r="I97" t="s">
        <v>82</v>
      </c>
    </row>
    <row r="98" spans="1:9">
      <c r="A98" t="s">
        <v>210</v>
      </c>
      <c r="I98" t="s">
        <v>196</v>
      </c>
    </row>
    <row r="99" spans="1:9">
      <c r="A99" t="s">
        <v>211</v>
      </c>
      <c r="I99" t="s">
        <v>42</v>
      </c>
    </row>
    <row r="100" spans="1:9">
      <c r="A100" t="s">
        <v>212</v>
      </c>
      <c r="I100" t="s">
        <v>193</v>
      </c>
    </row>
    <row r="101" spans="1:9">
      <c r="A101" t="s">
        <v>213</v>
      </c>
      <c r="I101" t="s">
        <v>194</v>
      </c>
    </row>
    <row r="102" spans="1:9">
      <c r="A102" t="s">
        <v>39</v>
      </c>
      <c r="I102" t="s">
        <v>195</v>
      </c>
    </row>
    <row r="103" spans="1:9">
      <c r="A103" t="s">
        <v>40</v>
      </c>
      <c r="I103" t="s">
        <v>43</v>
      </c>
    </row>
    <row r="104" spans="1:9">
      <c r="I104" t="s">
        <v>200</v>
      </c>
    </row>
    <row r="105" spans="1:9">
      <c r="I105" t="s">
        <v>74</v>
      </c>
    </row>
    <row r="106" spans="1:9">
      <c r="I106" t="s">
        <v>198</v>
      </c>
    </row>
    <row r="107" spans="1:9">
      <c r="A107" t="s">
        <v>35</v>
      </c>
      <c r="I107" t="s">
        <v>199</v>
      </c>
    </row>
    <row r="108" spans="1:9">
      <c r="A108" t="s">
        <v>36</v>
      </c>
      <c r="I108" t="s">
        <v>82</v>
      </c>
    </row>
    <row r="109" spans="1:9">
      <c r="A109" t="s">
        <v>37</v>
      </c>
      <c r="I109" s="11" t="s">
        <v>88</v>
      </c>
    </row>
    <row r="110" spans="1:9">
      <c r="A110" t="s">
        <v>215</v>
      </c>
      <c r="I110" t="s">
        <v>42</v>
      </c>
    </row>
    <row r="111" spans="1:9">
      <c r="A111" t="s">
        <v>216</v>
      </c>
      <c r="I111" t="s">
        <v>85</v>
      </c>
    </row>
    <row r="112" spans="1:9">
      <c r="A112" t="s">
        <v>217</v>
      </c>
      <c r="I112" t="s">
        <v>86</v>
      </c>
    </row>
    <row r="113" spans="1:9">
      <c r="A113" t="s">
        <v>38</v>
      </c>
      <c r="I113" t="s">
        <v>87</v>
      </c>
    </row>
    <row r="114" spans="1:9">
      <c r="A114" t="s">
        <v>209</v>
      </c>
      <c r="I114" t="s">
        <v>43</v>
      </c>
    </row>
    <row r="115" spans="1:9">
      <c r="A115" t="s">
        <v>210</v>
      </c>
    </row>
    <row r="116" spans="1:9">
      <c r="A116" t="s">
        <v>211</v>
      </c>
    </row>
    <row r="117" spans="1:9">
      <c r="A117" t="s">
        <v>212</v>
      </c>
      <c r="F117" t="str">
        <f>Keys!A7</f>
        <v>EC_AlicePrivate</v>
      </c>
      <c r="G117" t="e" cm="1">
        <f t="array" ref="G117">Util_showFormula(#REF!)</f>
        <v>#VALUE!</v>
      </c>
    </row>
    <row r="118" spans="1:9">
      <c r="A118" t="s">
        <v>213</v>
      </c>
      <c r="F118" t="str">
        <f>Keys!A7</f>
        <v>EC_AlicePrivate</v>
      </c>
      <c r="G118" t="e" cm="1">
        <f t="array" ref="G118">Util_showFormula(#REF!)</f>
        <v>#VALUE!</v>
      </c>
    </row>
    <row r="119" spans="1:9">
      <c r="A119" t="s">
        <v>39</v>
      </c>
      <c r="F119" t="str">
        <f>Keys!A6</f>
        <v>EC_AlicePublic</v>
      </c>
      <c r="G119" t="e" cm="1">
        <f t="array" ref="G119">Util_showFormula(#REF!)</f>
        <v>#VALUE!</v>
      </c>
    </row>
    <row r="120" spans="1:9">
      <c r="A120" t="s">
        <v>40</v>
      </c>
      <c r="F120" t="str">
        <f>Keys!A6</f>
        <v>EC_AlicePublic</v>
      </c>
      <c r="G120" t="e" cm="1">
        <f t="array" ref="G120">Util_showFormula(#REF!)</f>
        <v>#VALUE!</v>
      </c>
    </row>
    <row r="121" spans="1:9">
      <c r="F121" t="str">
        <f>Keys!A7</f>
        <v>EC_AlicePrivate</v>
      </c>
      <c r="G121" t="e" cm="1">
        <f t="array" ref="G121">Util_showFormula(#REF!)</f>
        <v>#VALUE!</v>
      </c>
    </row>
    <row r="122" spans="1:9">
      <c r="A122" t="s">
        <v>229</v>
      </c>
    </row>
    <row r="123" spans="1:9">
      <c r="A123" t="s">
        <v>38</v>
      </c>
    </row>
    <row r="124" spans="1:9">
      <c r="A124" t="s">
        <v>223</v>
      </c>
    </row>
    <row r="125" spans="1:9">
      <c r="A125" t="s">
        <v>224</v>
      </c>
    </row>
    <row r="126" spans="1:9">
      <c r="A126" t="s">
        <v>225</v>
      </c>
    </row>
    <row r="127" spans="1:9">
      <c r="A127" t="s">
        <v>226</v>
      </c>
    </row>
    <row r="128" spans="1:9">
      <c r="A128" t="s">
        <v>227</v>
      </c>
    </row>
    <row r="129" spans="1:1">
      <c r="A129" t="s">
        <v>39</v>
      </c>
    </row>
    <row r="130" spans="1:1">
      <c r="A130" t="s">
        <v>40</v>
      </c>
    </row>
    <row r="132" spans="1:1">
      <c r="A132" t="s">
        <v>228</v>
      </c>
    </row>
    <row r="133" spans="1:1">
      <c r="A133" t="s">
        <v>37</v>
      </c>
    </row>
    <row r="134" spans="1:1">
      <c r="A134" t="s">
        <v>220</v>
      </c>
    </row>
    <row r="135" spans="1:1">
      <c r="A135" t="s">
        <v>221</v>
      </c>
    </row>
    <row r="136" spans="1:1">
      <c r="A136" t="s">
        <v>222</v>
      </c>
    </row>
    <row r="137" spans="1:1">
      <c r="A137" t="s">
        <v>38</v>
      </c>
    </row>
    <row r="138" spans="1:1">
      <c r="A138" t="s">
        <v>223</v>
      </c>
    </row>
    <row r="139" spans="1:1">
      <c r="A139" t="s">
        <v>224</v>
      </c>
    </row>
    <row r="140" spans="1:1">
      <c r="A140" t="s">
        <v>225</v>
      </c>
    </row>
    <row r="141" spans="1:1">
      <c r="A141" t="s">
        <v>226</v>
      </c>
    </row>
    <row r="142" spans="1:1">
      <c r="A142" t="s">
        <v>227</v>
      </c>
    </row>
    <row r="143" spans="1:1">
      <c r="A143" t="s">
        <v>39</v>
      </c>
    </row>
    <row r="144" spans="1:1">
      <c r="A144" t="s">
        <v>40</v>
      </c>
    </row>
    <row r="145" spans="1:1">
      <c r="A145" t="s">
        <v>41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StartHere</vt:lpstr>
      <vt:lpstr>Functions</vt:lpstr>
      <vt:lpstr>AliceAndBob</vt:lpstr>
      <vt:lpstr>AliceAndBobAdvanced</vt:lpstr>
      <vt:lpstr>AliceAndBobEC</vt:lpstr>
      <vt:lpstr>AES-_DES</vt:lpstr>
      <vt:lpstr>RSA</vt:lpstr>
      <vt:lpstr>ECurve</vt:lpstr>
      <vt:lpstr>Keys</vt:lpstr>
      <vt:lpstr>FromOpenssl</vt:lpstr>
      <vt:lpstr>Keys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 Nielsen</dc:creator>
  <cp:lastModifiedBy>Per Nielsen</cp:lastModifiedBy>
  <dcterms:created xsi:type="dcterms:W3CDTF">2015-06-05T18:17:20Z</dcterms:created>
  <dcterms:modified xsi:type="dcterms:W3CDTF">2023-08-05T19:22:29Z</dcterms:modified>
</cp:coreProperties>
</file>