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 Barros\Desktop\Hackathon\"/>
    </mc:Choice>
  </mc:AlternateContent>
  <bookViews>
    <workbookView xWindow="480" yWindow="60" windowWidth="15200" windowHeight="8240"/>
  </bookViews>
  <sheets>
    <sheet name="RESUME" sheetId="8" r:id="rId1"/>
    <sheet name="Cost Structure" sheetId="5" r:id="rId2"/>
    <sheet name="Sales Structure" sheetId="6" r:id="rId3"/>
    <sheet name="Support data" sheetId="7" r:id="rId4"/>
  </sheets>
  <calcPr calcId="162913" iterateDelta="1E-4"/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" i="7"/>
  <c r="E7" i="8"/>
  <c r="D7" i="8"/>
  <c r="C7" i="8"/>
  <c r="H38" i="6" l="1"/>
  <c r="H39" i="6"/>
  <c r="H37" i="6"/>
  <c r="C38" i="6"/>
  <c r="C37" i="6"/>
  <c r="C39" i="6" l="1"/>
  <c r="B3" i="8"/>
  <c r="B7" i="8"/>
  <c r="B2" i="8"/>
  <c r="C2" i="8" s="1"/>
  <c r="G5" i="6"/>
  <c r="I5" i="6" s="1"/>
  <c r="G6" i="6"/>
  <c r="G7" i="6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G23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4" i="6"/>
  <c r="G3" i="6"/>
  <c r="I3" i="6"/>
  <c r="I6" i="6"/>
  <c r="I7" i="6"/>
  <c r="I22" i="6"/>
  <c r="I23" i="6"/>
  <c r="H5" i="6"/>
  <c r="H6" i="6"/>
  <c r="H7" i="6"/>
  <c r="H8" i="6"/>
  <c r="H9" i="6" s="1"/>
  <c r="H4" i="6"/>
  <c r="B5" i="6"/>
  <c r="D5" i="6" s="1"/>
  <c r="B6" i="6"/>
  <c r="D6" i="6" s="1"/>
  <c r="B7" i="6"/>
  <c r="D7" i="6" s="1"/>
  <c r="B8" i="6"/>
  <c r="D8" i="6" s="1"/>
  <c r="B9" i="6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4" i="6"/>
  <c r="D9" i="6"/>
  <c r="D21" i="6"/>
  <c r="D3" i="6"/>
  <c r="C5" i="6"/>
  <c r="C6" i="6"/>
  <c r="C4" i="6"/>
  <c r="C25" i="7"/>
  <c r="C26" i="7"/>
  <c r="C27" i="7"/>
  <c r="C2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3" i="7"/>
  <c r="H3" i="6"/>
  <c r="P8" i="6"/>
  <c r="P4" i="6"/>
  <c r="P5" i="6"/>
  <c r="P6" i="6"/>
  <c r="P3" i="6"/>
  <c r="N8" i="6"/>
  <c r="N6" i="6"/>
  <c r="L6" i="6"/>
  <c r="C3" i="6"/>
  <c r="N3" i="6"/>
  <c r="N4" i="6"/>
  <c r="N5" i="6"/>
  <c r="K5" i="5"/>
  <c r="B6" i="5"/>
  <c r="D4" i="6" l="1"/>
  <c r="C33" i="6"/>
  <c r="I4" i="6"/>
  <c r="I30" i="6" s="1"/>
  <c r="C34" i="6"/>
  <c r="E2" i="8"/>
  <c r="D2" i="8"/>
  <c r="B13" i="8"/>
  <c r="H10" i="6"/>
  <c r="D30" i="6"/>
  <c r="C7" i="6"/>
  <c r="B3" i="6"/>
  <c r="E18" i="5"/>
  <c r="E19" i="5" s="1"/>
  <c r="B37" i="6" l="1"/>
  <c r="C6" i="8" s="1"/>
  <c r="C5" i="8" s="1"/>
  <c r="B39" i="6"/>
  <c r="E6" i="8" s="1"/>
  <c r="E5" i="8" s="1"/>
  <c r="B38" i="6"/>
  <c r="D6" i="8" s="1"/>
  <c r="D5" i="8" s="1"/>
  <c r="G39" i="6"/>
  <c r="I39" i="6" s="1"/>
  <c r="E11" i="8" s="1"/>
  <c r="G38" i="6"/>
  <c r="G37" i="6"/>
  <c r="I37" i="6"/>
  <c r="C11" i="8" s="1"/>
  <c r="I38" i="6"/>
  <c r="D11" i="8" s="1"/>
  <c r="D37" i="6"/>
  <c r="C10" i="8" s="1"/>
  <c r="D39" i="6"/>
  <c r="E10" i="8" s="1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C8" i="6"/>
  <c r="D38" i="6" l="1"/>
  <c r="D10" i="8" s="1"/>
  <c r="D9" i="8" s="1"/>
  <c r="D13" i="8" s="1"/>
  <c r="E9" i="8"/>
  <c r="E13" i="8" s="1"/>
  <c r="B11" i="8"/>
  <c r="B10" i="8"/>
  <c r="C9" i="6"/>
  <c r="C10" i="6" l="1"/>
  <c r="C11" i="6" l="1"/>
  <c r="C12" i="6" l="1"/>
  <c r="C13" i="6" l="1"/>
  <c r="C14" i="6" l="1"/>
  <c r="C15" i="6" l="1"/>
  <c r="C16" i="6" l="1"/>
  <c r="C17" i="6" l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9" i="8"/>
  <c r="C13" i="8" s="1"/>
</calcChain>
</file>

<file path=xl/comments1.xml><?xml version="1.0" encoding="utf-8"?>
<comments xmlns="http://schemas.openxmlformats.org/spreadsheetml/2006/main">
  <authors>
    <author>Hugo Barros</author>
  </authors>
  <commentList>
    <comment ref="A7" authorId="0" shapeId="0">
      <text>
        <r>
          <rPr>
            <sz val="9"/>
            <color indexed="81"/>
            <rFont val="Calibri"/>
            <family val="2"/>
            <scheme val="minor"/>
          </rPr>
          <t xml:space="preserve">Server infrastructure and ongoing support and development </t>
        </r>
      </text>
    </comment>
  </commentList>
</comments>
</file>

<file path=xl/comments2.xml><?xml version="1.0" encoding="utf-8"?>
<comments xmlns="http://schemas.openxmlformats.org/spreadsheetml/2006/main">
  <authors>
    <author>Hugo Barros</author>
  </authors>
  <commentList>
    <comment ref="K12" authorId="0" shapeId="0">
      <text>
        <r>
          <rPr>
            <sz val="9"/>
            <color indexed="81"/>
            <rFont val="Tahoma"/>
            <family val="2"/>
          </rPr>
          <t>Continte: 278 
Madeira: 11 
Açores:19</t>
        </r>
      </text>
    </comment>
  </commentList>
</comments>
</file>

<file path=xl/sharedStrings.xml><?xml version="1.0" encoding="utf-8"?>
<sst xmlns="http://schemas.openxmlformats.org/spreadsheetml/2006/main" count="144" uniqueCount="85">
  <si>
    <t>Revenue</t>
  </si>
  <si>
    <t>Development Cost</t>
  </si>
  <si>
    <t>SaaS</t>
  </si>
  <si>
    <t>A2W</t>
  </si>
  <si>
    <t>N.º of Licence</t>
  </si>
  <si>
    <t>€/per user</t>
  </si>
  <si>
    <t>Portugal</t>
  </si>
  <si>
    <t>TOTAL</t>
  </si>
  <si>
    <t>DEVELOPMENT COST</t>
  </si>
  <si>
    <t>OPERATIONAL COST</t>
  </si>
  <si>
    <t>REVENUE</t>
  </si>
  <si>
    <t>A2W POD</t>
  </si>
  <si>
    <t>A2W POD SaaS (Software as a Service)</t>
  </si>
  <si>
    <t>Hardware</t>
  </si>
  <si>
    <t>Sensors</t>
  </si>
  <si>
    <t>RaspPi 4 (2GB)</t>
  </si>
  <si>
    <t>Arduino Uno R3</t>
  </si>
  <si>
    <t>Light</t>
  </si>
  <si>
    <t xml:space="preserve">Humidity </t>
  </si>
  <si>
    <t>Movement</t>
  </si>
  <si>
    <t>Temperature</t>
  </si>
  <si>
    <t>Motor</t>
  </si>
  <si>
    <t>Speaker</t>
  </si>
  <si>
    <t>Assembly</t>
  </si>
  <si>
    <t>Cost per casing</t>
  </si>
  <si>
    <t>Product</t>
  </si>
  <si>
    <t>Sale Price</t>
  </si>
  <si>
    <t>Monthly Fee</t>
  </si>
  <si>
    <t>Software Development &amp; Hardware configuration</t>
  </si>
  <si>
    <t>Marketing / GoTo Market</t>
  </si>
  <si>
    <t xml:space="preserve">Server infrastructure and ongoing support and development </t>
  </si>
  <si>
    <t>Operational Costs Montly)</t>
  </si>
  <si>
    <t>A2W POD (including SaaS)</t>
  </si>
  <si>
    <t>A2W SaaS</t>
  </si>
  <si>
    <t>N.º of PODs</t>
  </si>
  <si>
    <t>Fonte: Por Data (2018)</t>
  </si>
  <si>
    <t>N.º TOTAL</t>
  </si>
  <si>
    <t>% A2W</t>
  </si>
  <si>
    <t>Price per POD</t>
  </si>
  <si>
    <t>Hole Sale and Retail</t>
  </si>
  <si>
    <t>Restaurants, hotels and similars</t>
  </si>
  <si>
    <t>Other sectors</t>
  </si>
  <si>
    <t>% SaaS</t>
  </si>
  <si>
    <t>Public Spaces*</t>
  </si>
  <si>
    <t>*Municipalities in Portugal</t>
  </si>
  <si>
    <t>Freguesias em PT</t>
  </si>
  <si>
    <t>Malta</t>
  </si>
  <si>
    <t>Áustria</t>
  </si>
  <si>
    <t>Bélgica</t>
  </si>
  <si>
    <t>Bulgária</t>
  </si>
  <si>
    <t>Chipre</t>
  </si>
  <si>
    <t>Chéquia</t>
  </si>
  <si>
    <t>Alemanha</t>
  </si>
  <si>
    <t>Dinamarca</t>
  </si>
  <si>
    <t>Estónia</t>
  </si>
  <si>
    <t>Grécia</t>
  </si>
  <si>
    <t>Espanha</t>
  </si>
  <si>
    <t>Finlândia</t>
  </si>
  <si>
    <t>França</t>
  </si>
  <si>
    <t>Croácia</t>
  </si>
  <si>
    <t>Hungria</t>
  </si>
  <si>
    <t>Irlanda</t>
  </si>
  <si>
    <t>Itália</t>
  </si>
  <si>
    <t>Lituânia</t>
  </si>
  <si>
    <t>Luxemburgo</t>
  </si>
  <si>
    <t>Letónia</t>
  </si>
  <si>
    <t>Países Baixos</t>
  </si>
  <si>
    <t>Polónia</t>
  </si>
  <si>
    <t>Roménia</t>
  </si>
  <si>
    <t>Suécia</t>
  </si>
  <si>
    <t>Eslovénia</t>
  </si>
  <si>
    <t>Eslováquia</t>
  </si>
  <si>
    <t>Population</t>
  </si>
  <si>
    <t>A2W POD SaaS (monthly)</t>
  </si>
  <si>
    <t>SALES</t>
  </si>
  <si>
    <t>A2W POD SaaS (Monthly fee)</t>
  </si>
  <si>
    <t>Total Available Market A2W POD</t>
  </si>
  <si>
    <t>Total Available Market A2W POD SaaS</t>
  </si>
  <si>
    <t>Year 1</t>
  </si>
  <si>
    <t>Year2</t>
  </si>
  <si>
    <t>Year 3</t>
  </si>
  <si>
    <t>A2W POD SaaS</t>
  </si>
  <si>
    <t>Year 2</t>
  </si>
  <si>
    <t>A2W POD  (purchase)</t>
  </si>
  <si>
    <t>Correction factor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</si>
</sst>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</numFmts>
  <fonts count="24" x14ac:knownFonts="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name val="Arial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4D5156"/>
      <name val="Arial"/>
      <family val="2"/>
    </font>
    <font>
      <sz val="9"/>
      <color indexed="81"/>
      <name val="Tahoma"/>
      <family val="2"/>
    </font>
    <font>
      <sz val="9"/>
      <color rgb="FF33333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/>
      <top style="dash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3" fillId="2" borderId="0" xfId="1" applyFont="1" applyFill="1" applyBorder="1" applyAlignment="1">
      <alignment horizontal="right"/>
    </xf>
    <xf numFmtId="44" fontId="2" fillId="2" borderId="0" xfId="1" applyFont="1" applyFill="1" applyBorder="1" applyAlignment="1">
      <alignment horizontal="right"/>
    </xf>
    <xf numFmtId="44" fontId="2" fillId="2" borderId="6" xfId="1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44" fontId="2" fillId="8" borderId="8" xfId="1" applyFont="1" applyFill="1" applyBorder="1" applyAlignment="1">
      <alignment horizontal="right"/>
    </xf>
    <xf numFmtId="44" fontId="2" fillId="8" borderId="4" xfId="1" applyFont="1" applyFill="1" applyBorder="1" applyAlignment="1">
      <alignment horizontal="right"/>
    </xf>
    <xf numFmtId="44" fontId="1" fillId="0" borderId="0" xfId="1" applyFont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44" fontId="1" fillId="0" borderId="0" xfId="1" applyFont="1"/>
    <xf numFmtId="0" fontId="9" fillId="0" borderId="0" xfId="0" applyFont="1" applyAlignment="1">
      <alignment horizontal="right"/>
    </xf>
    <xf numFmtId="0" fontId="1" fillId="7" borderId="0" xfId="0" applyFont="1" applyFill="1" applyBorder="1" applyAlignment="1">
      <alignment vertic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9" borderId="0" xfId="0" applyFont="1" applyFill="1"/>
    <xf numFmtId="44" fontId="1" fillId="9" borderId="0" xfId="1" applyFont="1" applyFill="1"/>
    <xf numFmtId="0" fontId="1" fillId="9" borderId="0" xfId="0" applyFont="1" applyFill="1" applyAlignment="1">
      <alignment horizontal="center" vertical="center"/>
    </xf>
    <xf numFmtId="44" fontId="1" fillId="9" borderId="0" xfId="0" applyNumberFormat="1" applyFont="1" applyFill="1" applyAlignment="1">
      <alignment horizontal="center" vertical="center"/>
    </xf>
    <xf numFmtId="44" fontId="1" fillId="9" borderId="0" xfId="0" applyNumberFormat="1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5" fillId="10" borderId="1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vertical="top" wrapText="1"/>
    </xf>
    <xf numFmtId="0" fontId="10" fillId="10" borderId="0" xfId="0" applyFont="1" applyFill="1"/>
    <xf numFmtId="0" fontId="16" fillId="10" borderId="17" xfId="0" applyFont="1" applyFill="1" applyBorder="1" applyAlignment="1">
      <alignment horizontal="left" vertical="top" wrapText="1"/>
    </xf>
    <xf numFmtId="0" fontId="16" fillId="10" borderId="17" xfId="0" applyFont="1" applyFill="1" applyBorder="1" applyAlignment="1">
      <alignment vertical="top" wrapText="1"/>
    </xf>
    <xf numFmtId="0" fontId="16" fillId="0" borderId="0" xfId="0" applyFont="1"/>
    <xf numFmtId="0" fontId="10" fillId="10" borderId="12" xfId="0" applyFont="1" applyFill="1" applyBorder="1" applyAlignment="1">
      <alignment horizontal="center" vertical="center"/>
    </xf>
    <xf numFmtId="44" fontId="10" fillId="10" borderId="12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44" fontId="10" fillId="4" borderId="16" xfId="1" applyFont="1" applyFill="1" applyBorder="1" applyAlignment="1">
      <alignment horizontal="center" vertical="center"/>
    </xf>
    <xf numFmtId="2" fontId="10" fillId="6" borderId="12" xfId="0" applyNumberFormat="1" applyFont="1" applyFill="1" applyBorder="1" applyAlignment="1">
      <alignment horizontal="center" vertical="center"/>
    </xf>
    <xf numFmtId="44" fontId="10" fillId="6" borderId="1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4" fontId="17" fillId="5" borderId="19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right"/>
    </xf>
    <xf numFmtId="44" fontId="10" fillId="2" borderId="0" xfId="1" applyFont="1" applyFill="1" applyBorder="1" applyAlignment="1">
      <alignment horizontal="right"/>
    </xf>
    <xf numFmtId="43" fontId="1" fillId="0" borderId="0" xfId="2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7" fontId="2" fillId="2" borderId="21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/>
    </xf>
    <xf numFmtId="44" fontId="2" fillId="2" borderId="23" xfId="1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44" fontId="1" fillId="2" borderId="8" xfId="1" applyFont="1" applyFill="1" applyBorder="1" applyAlignment="1">
      <alignment horizontal="right"/>
    </xf>
    <xf numFmtId="0" fontId="1" fillId="0" borderId="25" xfId="0" applyFont="1" applyBorder="1"/>
    <xf numFmtId="0" fontId="1" fillId="0" borderId="26" xfId="0" applyFont="1" applyBorder="1"/>
    <xf numFmtId="44" fontId="22" fillId="0" borderId="25" xfId="0" applyNumberFormat="1" applyFont="1" applyBorder="1"/>
    <xf numFmtId="44" fontId="21" fillId="0" borderId="24" xfId="0" applyNumberFormat="1" applyFont="1" applyBorder="1"/>
    <xf numFmtId="44" fontId="10" fillId="0" borderId="25" xfId="0" applyNumberFormat="1" applyFont="1" applyBorder="1"/>
    <xf numFmtId="0" fontId="1" fillId="0" borderId="27" xfId="0" applyFont="1" applyBorder="1"/>
    <xf numFmtId="0" fontId="1" fillId="0" borderId="28" xfId="0" applyFont="1" applyBorder="1"/>
    <xf numFmtId="44" fontId="22" fillId="0" borderId="29" xfId="0" applyNumberFormat="1" applyFont="1" applyBorder="1"/>
    <xf numFmtId="0" fontId="2" fillId="0" borderId="2" xfId="0" applyFont="1" applyBorder="1" applyAlignment="1">
      <alignment horizontal="right"/>
    </xf>
    <xf numFmtId="44" fontId="2" fillId="2" borderId="9" xfId="1" applyFont="1" applyFill="1" applyBorder="1" applyAlignment="1">
      <alignment horizontal="right"/>
    </xf>
    <xf numFmtId="44" fontId="2" fillId="2" borderId="30" xfId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43" fontId="1" fillId="0" borderId="0" xfId="2" applyFont="1" applyBorder="1" applyAlignment="1">
      <alignment horizontal="center" vertical="center"/>
    </xf>
    <xf numFmtId="44" fontId="1" fillId="0" borderId="0" xfId="1" applyFont="1" applyBorder="1" applyAlignment="1">
      <alignment horizontal="center" vertical="center"/>
    </xf>
    <xf numFmtId="44" fontId="1" fillId="12" borderId="0" xfId="1" applyFont="1" applyFill="1" applyBorder="1" applyAlignment="1">
      <alignment horizontal="center" vertical="center"/>
    </xf>
    <xf numFmtId="44" fontId="1" fillId="12" borderId="0" xfId="1" applyFont="1" applyFill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0" fillId="0" borderId="18" xfId="0" applyFont="1" applyBorder="1" applyAlignment="1">
      <alignment horizontal="center"/>
    </xf>
    <xf numFmtId="44" fontId="1" fillId="0" borderId="25" xfId="0" applyNumberFormat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8" sqref="E8"/>
    </sheetView>
  </sheetViews>
  <sheetFormatPr defaultRowHeight="13" x14ac:dyDescent="0.3"/>
  <cols>
    <col min="1" max="1" width="21.54296875" style="1" customWidth="1"/>
    <col min="2" max="2" width="13.81640625" style="1" bestFit="1" customWidth="1"/>
    <col min="3" max="3" width="15.453125" style="1" bestFit="1" customWidth="1"/>
    <col min="4" max="4" width="12.90625" style="1" bestFit="1" customWidth="1"/>
    <col min="5" max="5" width="13.81640625" style="1" bestFit="1" customWidth="1"/>
    <col min="6" max="16384" width="8.7265625" style="1"/>
  </cols>
  <sheetData>
    <row r="1" spans="1:5" ht="13.5" thickBot="1" x14ac:dyDescent="0.35">
      <c r="A1" s="58" t="s">
        <v>3</v>
      </c>
      <c r="C1" s="59" t="s">
        <v>78</v>
      </c>
      <c r="D1" s="59" t="s">
        <v>82</v>
      </c>
      <c r="E1" s="59" t="s">
        <v>80</v>
      </c>
    </row>
    <row r="2" spans="1:5" x14ac:dyDescent="0.3">
      <c r="A2" s="2" t="s">
        <v>8</v>
      </c>
      <c r="B2" s="16">
        <f>SUM(B3:B3)</f>
        <v>200000</v>
      </c>
      <c r="C2" s="71">
        <f>B2</f>
        <v>200000</v>
      </c>
      <c r="D2" s="71">
        <f>C2*0.3</f>
        <v>60000</v>
      </c>
      <c r="E2" s="71">
        <f>C2*0.3</f>
        <v>60000</v>
      </c>
    </row>
    <row r="3" spans="1:5" x14ac:dyDescent="0.3">
      <c r="A3" s="14" t="s">
        <v>32</v>
      </c>
      <c r="B3" s="11">
        <f>'Cost Structure'!B6</f>
        <v>200000</v>
      </c>
      <c r="C3" s="64"/>
      <c r="D3" s="64"/>
      <c r="E3" s="69"/>
    </row>
    <row r="4" spans="1:5" ht="6" customHeight="1" x14ac:dyDescent="0.3">
      <c r="A4" s="62"/>
      <c r="B4" s="63"/>
      <c r="C4" s="65"/>
      <c r="D4" s="65"/>
      <c r="E4" s="70"/>
    </row>
    <row r="5" spans="1:5" x14ac:dyDescent="0.3">
      <c r="A5" s="60" t="s">
        <v>9</v>
      </c>
      <c r="B5" s="61"/>
      <c r="C5" s="66">
        <f>SUM(C6:C7)</f>
        <v>4454440.5520903161</v>
      </c>
      <c r="D5" s="66">
        <f t="shared" ref="D5:E5" si="0">SUM(D6:D7)</f>
        <v>5210165.3554003714</v>
      </c>
      <c r="E5" s="66">
        <f t="shared" si="0"/>
        <v>5961090.1587104276</v>
      </c>
    </row>
    <row r="6" spans="1:5" x14ac:dyDescent="0.3">
      <c r="A6" s="14" t="s">
        <v>83</v>
      </c>
      <c r="B6" s="12"/>
      <c r="C6" s="88">
        <f>'Cost Structure'!E19*'Sales Structure'!B37</f>
        <v>4214440.5520903161</v>
      </c>
      <c r="D6" s="88">
        <f>'Cost Structure'!E19*'Sales Structure'!B38</f>
        <v>4958165.3554003714</v>
      </c>
      <c r="E6" s="88">
        <f>'Cost Structure'!E19*'Sales Structure'!B39</f>
        <v>5701890.1587104276</v>
      </c>
    </row>
    <row r="7" spans="1:5" x14ac:dyDescent="0.3">
      <c r="A7" s="14" t="s">
        <v>73</v>
      </c>
      <c r="B7" s="12">
        <f>'Cost Structure'!K5</f>
        <v>20000</v>
      </c>
      <c r="C7" s="88">
        <f>B7*12</f>
        <v>240000</v>
      </c>
      <c r="D7" s="88">
        <f>C7*1.05</f>
        <v>252000</v>
      </c>
      <c r="E7" s="88">
        <f>C7*1.08</f>
        <v>259200.00000000003</v>
      </c>
    </row>
    <row r="8" spans="1:5" ht="6" customHeight="1" x14ac:dyDescent="0.3">
      <c r="A8" s="5"/>
      <c r="B8" s="15"/>
      <c r="C8" s="64"/>
      <c r="D8" s="64"/>
      <c r="E8" s="69"/>
    </row>
    <row r="9" spans="1:5" x14ac:dyDescent="0.3">
      <c r="A9" s="3" t="s">
        <v>74</v>
      </c>
      <c r="B9" s="13"/>
      <c r="C9" s="67">
        <f>C10+C11</f>
        <v>4678406.6874246541</v>
      </c>
      <c r="D9" s="67">
        <f t="shared" ref="D9:E9" si="1">D10+D11</f>
        <v>5589297.198132582</v>
      </c>
      <c r="E9" s="67">
        <f t="shared" si="1"/>
        <v>6463914.2099811118</v>
      </c>
    </row>
    <row r="10" spans="1:5" x14ac:dyDescent="0.3">
      <c r="A10" s="54" t="s">
        <v>11</v>
      </c>
      <c r="B10" s="55">
        <f>SUM(C10:E10)</f>
        <v>15092271.084023688</v>
      </c>
      <c r="C10" s="68">
        <f>'Sales Structure'!D37</f>
        <v>4214440.5520903161</v>
      </c>
      <c r="D10" s="68">
        <f>'Sales Structure'!D38</f>
        <v>5032537.8357313769</v>
      </c>
      <c r="E10" s="68">
        <f>'Sales Structure'!D39</f>
        <v>5845292.6962019941</v>
      </c>
    </row>
    <row r="11" spans="1:5" x14ac:dyDescent="0.3">
      <c r="A11" s="54" t="s">
        <v>75</v>
      </c>
      <c r="B11" s="55">
        <f>SUM(C11:E11)</f>
        <v>1639347.0115146611</v>
      </c>
      <c r="C11" s="68">
        <f>'Sales Structure'!I37*12</f>
        <v>463966.13533433806</v>
      </c>
      <c r="D11" s="68">
        <f>'Sales Structure'!I38*12</f>
        <v>556759.36240120558</v>
      </c>
      <c r="E11" s="68">
        <f>'Sales Structure'!I39*12</f>
        <v>618621.51377911749</v>
      </c>
    </row>
    <row r="12" spans="1:5" ht="6" customHeight="1" thickBot="1" x14ac:dyDescent="0.35">
      <c r="A12" s="4"/>
      <c r="B12" s="12"/>
      <c r="C12" s="64"/>
      <c r="D12" s="64"/>
      <c r="E12" s="69"/>
    </row>
    <row r="13" spans="1:5" ht="13.5" thickBot="1" x14ac:dyDescent="0.35">
      <c r="A13" s="72" t="s">
        <v>10</v>
      </c>
      <c r="B13" s="73">
        <f>B9-B8</f>
        <v>0</v>
      </c>
      <c r="C13" s="74">
        <f>C9-C2-C5</f>
        <v>23966.135334338062</v>
      </c>
      <c r="D13" s="74">
        <f t="shared" ref="D13:E13" si="2">D9-D2-D5</f>
        <v>319131.84273221064</v>
      </c>
      <c r="E13" s="74">
        <f t="shared" si="2"/>
        <v>442824.05127068423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4" sqref="D24"/>
    </sheetView>
  </sheetViews>
  <sheetFormatPr defaultRowHeight="13" x14ac:dyDescent="0.3"/>
  <cols>
    <col min="1" max="1" width="31.7265625" style="1" customWidth="1"/>
    <col min="2" max="2" width="14.90625" style="1" customWidth="1"/>
    <col min="3" max="3" width="2.7265625" style="1" customWidth="1"/>
    <col min="4" max="4" width="14" style="1" customWidth="1"/>
    <col min="5" max="5" width="14.08984375" style="1" bestFit="1" customWidth="1"/>
    <col min="6" max="6" width="2.7265625" style="1" customWidth="1"/>
    <col min="7" max="7" width="10.36328125" style="1" bestFit="1" customWidth="1"/>
    <col min="8" max="8" width="8.7265625" style="1"/>
    <col min="9" max="9" width="2.7265625" style="1" customWidth="1"/>
    <col min="10" max="10" width="30.6328125" style="1" customWidth="1"/>
    <col min="11" max="11" width="10.54296875" style="1" bestFit="1" customWidth="1"/>
    <col min="12" max="16384" width="8.7265625" style="1"/>
  </cols>
  <sheetData>
    <row r="1" spans="1:13" ht="13" customHeight="1" x14ac:dyDescent="0.3">
      <c r="A1" s="80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x14ac:dyDescent="0.3">
      <c r="A2" s="18" t="s">
        <v>1</v>
      </c>
      <c r="B2" s="21"/>
      <c r="C2" s="22"/>
      <c r="D2" s="82" t="s">
        <v>25</v>
      </c>
      <c r="E2" s="83"/>
      <c r="F2" s="22"/>
      <c r="G2" s="82" t="s">
        <v>2</v>
      </c>
      <c r="H2" s="83"/>
      <c r="I2" s="22"/>
      <c r="J2" s="82" t="s">
        <v>31</v>
      </c>
      <c r="K2" s="83"/>
    </row>
    <row r="3" spans="1:13" ht="26" x14ac:dyDescent="0.3">
      <c r="A3" s="29" t="s">
        <v>28</v>
      </c>
      <c r="B3" s="19">
        <v>100000</v>
      </c>
      <c r="C3" s="22"/>
      <c r="D3" s="1" t="s">
        <v>13</v>
      </c>
      <c r="F3" s="22"/>
      <c r="G3" s="24" t="s">
        <v>27</v>
      </c>
      <c r="H3" s="25">
        <v>3</v>
      </c>
      <c r="I3" s="22"/>
      <c r="J3" s="30" t="s">
        <v>30</v>
      </c>
      <c r="K3" s="19">
        <v>20000</v>
      </c>
    </row>
    <row r="4" spans="1:13" x14ac:dyDescent="0.3">
      <c r="A4" s="1" t="s">
        <v>29</v>
      </c>
      <c r="B4" s="19">
        <v>100000</v>
      </c>
      <c r="C4" s="22"/>
      <c r="D4" s="20" t="s">
        <v>15</v>
      </c>
      <c r="E4" s="19">
        <v>39.99</v>
      </c>
      <c r="F4" s="22"/>
      <c r="I4" s="22"/>
    </row>
    <row r="5" spans="1:13" x14ac:dyDescent="0.3">
      <c r="C5" s="22"/>
      <c r="D5" s="20" t="s">
        <v>16</v>
      </c>
      <c r="E5" s="19">
        <v>19.989999999999998</v>
      </c>
      <c r="F5" s="22"/>
      <c r="I5" s="22"/>
      <c r="K5" s="28">
        <f>SUM(K3:K4)</f>
        <v>20000</v>
      </c>
    </row>
    <row r="6" spans="1:13" x14ac:dyDescent="0.3">
      <c r="B6" s="28">
        <f>SUM(B3:B4)</f>
        <v>200000</v>
      </c>
      <c r="C6" s="22"/>
      <c r="F6" s="22"/>
      <c r="I6" s="22"/>
    </row>
    <row r="7" spans="1:13" x14ac:dyDescent="0.3">
      <c r="C7" s="22"/>
      <c r="D7" s="1" t="s">
        <v>14</v>
      </c>
      <c r="F7" s="22"/>
      <c r="I7" s="22"/>
    </row>
    <row r="8" spans="1:13" x14ac:dyDescent="0.3">
      <c r="C8" s="22"/>
      <c r="D8" s="20" t="s">
        <v>17</v>
      </c>
      <c r="E8" s="19">
        <v>0.9</v>
      </c>
      <c r="F8" s="22"/>
      <c r="I8" s="22"/>
    </row>
    <row r="9" spans="1:13" x14ac:dyDescent="0.3">
      <c r="C9" s="22"/>
      <c r="D9" s="20" t="s">
        <v>18</v>
      </c>
      <c r="E9" s="19">
        <v>1.3</v>
      </c>
      <c r="F9" s="22"/>
      <c r="I9" s="22"/>
    </row>
    <row r="10" spans="1:13" x14ac:dyDescent="0.3">
      <c r="C10" s="22"/>
      <c r="D10" s="20" t="s">
        <v>19</v>
      </c>
      <c r="E10" s="19">
        <v>2.2000000000000002</v>
      </c>
      <c r="F10" s="22"/>
      <c r="I10" s="22"/>
    </row>
    <row r="11" spans="1:13" x14ac:dyDescent="0.3">
      <c r="C11" s="22"/>
      <c r="D11" s="20" t="s">
        <v>20</v>
      </c>
      <c r="E11" s="19">
        <v>20.92</v>
      </c>
      <c r="F11" s="22"/>
      <c r="I11" s="22"/>
    </row>
    <row r="12" spans="1:13" x14ac:dyDescent="0.3">
      <c r="C12" s="22"/>
      <c r="D12" s="20" t="s">
        <v>21</v>
      </c>
      <c r="E12" s="19">
        <v>2.2999999999999998</v>
      </c>
      <c r="F12" s="22"/>
      <c r="I12" s="22"/>
    </row>
    <row r="13" spans="1:13" x14ac:dyDescent="0.3">
      <c r="C13" s="22"/>
      <c r="D13" s="20" t="s">
        <v>22</v>
      </c>
      <c r="E13" s="19">
        <v>1.4</v>
      </c>
      <c r="F13" s="22"/>
      <c r="I13" s="22"/>
    </row>
    <row r="14" spans="1:13" x14ac:dyDescent="0.3">
      <c r="C14" s="22"/>
      <c r="F14" s="22"/>
      <c r="I14" s="22"/>
    </row>
    <row r="15" spans="1:13" x14ac:dyDescent="0.3">
      <c r="A15" s="19"/>
      <c r="C15" s="22"/>
      <c r="D15" s="1" t="s">
        <v>23</v>
      </c>
      <c r="F15" s="22"/>
      <c r="I15" s="22"/>
    </row>
    <row r="16" spans="1:13" x14ac:dyDescent="0.3">
      <c r="C16" s="22"/>
      <c r="D16" s="20" t="s">
        <v>24</v>
      </c>
      <c r="E16" s="19">
        <v>10</v>
      </c>
      <c r="F16" s="22"/>
      <c r="I16" s="22"/>
    </row>
    <row r="17" spans="1:13" x14ac:dyDescent="0.3">
      <c r="C17" s="22"/>
      <c r="F17" s="22"/>
      <c r="I17" s="22"/>
    </row>
    <row r="18" spans="1:13" x14ac:dyDescent="0.3">
      <c r="C18" s="22"/>
      <c r="D18" s="6" t="s">
        <v>7</v>
      </c>
      <c r="E18" s="10">
        <f>SUM(E4:E17)</f>
        <v>99</v>
      </c>
      <c r="F18" s="22"/>
      <c r="I18" s="22"/>
    </row>
    <row r="19" spans="1:13" x14ac:dyDescent="0.3">
      <c r="C19" s="22"/>
      <c r="D19" s="26" t="s">
        <v>26</v>
      </c>
      <c r="E19" s="27">
        <f>E18</f>
        <v>99</v>
      </c>
      <c r="F19" s="23"/>
      <c r="G19" s="6"/>
      <c r="H19" s="6"/>
      <c r="I19" s="23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17"/>
      <c r="F22" s="6"/>
      <c r="G22" s="6"/>
      <c r="H22" s="6"/>
      <c r="I22" s="6"/>
      <c r="J22" s="6"/>
      <c r="K22" s="6"/>
      <c r="L22" s="6"/>
      <c r="M22" s="6"/>
    </row>
  </sheetData>
  <mergeCells count="4">
    <mergeCell ref="A1:M1"/>
    <mergeCell ref="D2:E2"/>
    <mergeCell ref="G2:H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A22" workbookViewId="0">
      <selection activeCell="G40" sqref="G40"/>
    </sheetView>
  </sheetViews>
  <sheetFormatPr defaultRowHeight="13" x14ac:dyDescent="0.25"/>
  <cols>
    <col min="1" max="1" width="17.54296875" style="6" customWidth="1"/>
    <col min="2" max="2" width="15.36328125" style="6" customWidth="1"/>
    <col min="3" max="3" width="12" style="6" bestFit="1" customWidth="1"/>
    <col min="4" max="4" width="13.81640625" style="6" bestFit="1" customWidth="1"/>
    <col min="5" max="5" width="4.453125" style="6" customWidth="1"/>
    <col min="6" max="6" width="9.6328125" style="6" bestFit="1" customWidth="1"/>
    <col min="7" max="7" width="11.08984375" style="6" bestFit="1" customWidth="1"/>
    <col min="8" max="8" width="8.7265625" style="6"/>
    <col min="9" max="9" width="11.453125" style="6" bestFit="1" customWidth="1"/>
    <col min="10" max="10" width="4.6328125" style="6" customWidth="1"/>
    <col min="11" max="11" width="29.453125" style="6" bestFit="1" customWidth="1"/>
    <col min="12" max="12" width="8.7265625" style="6"/>
    <col min="13" max="13" width="7.90625" style="6" customWidth="1"/>
    <col min="14" max="16384" width="8.7265625" style="6"/>
  </cols>
  <sheetData>
    <row r="1" spans="1:16" x14ac:dyDescent="0.25">
      <c r="A1" s="84" t="s">
        <v>11</v>
      </c>
      <c r="B1" s="84"/>
      <c r="C1" s="84"/>
      <c r="D1" s="84"/>
      <c r="F1" s="84" t="s">
        <v>33</v>
      </c>
      <c r="G1" s="84"/>
      <c r="H1" s="84"/>
      <c r="I1" s="84"/>
      <c r="K1" s="33"/>
      <c r="L1" s="33"/>
    </row>
    <row r="2" spans="1:16" x14ac:dyDescent="0.25">
      <c r="A2" s="8"/>
      <c r="B2" s="31" t="s">
        <v>34</v>
      </c>
      <c r="C2" s="31" t="s">
        <v>38</v>
      </c>
      <c r="D2" s="9" t="s">
        <v>0</v>
      </c>
      <c r="F2" s="8"/>
      <c r="G2" s="7" t="s">
        <v>4</v>
      </c>
      <c r="H2" s="7" t="s">
        <v>5</v>
      </c>
      <c r="I2" s="9" t="s">
        <v>0</v>
      </c>
      <c r="K2" s="34" t="s">
        <v>35</v>
      </c>
      <c r="L2" s="34" t="s">
        <v>36</v>
      </c>
      <c r="M2" s="34" t="s">
        <v>37</v>
      </c>
      <c r="O2" s="34" t="s">
        <v>42</v>
      </c>
    </row>
    <row r="3" spans="1:16" x14ac:dyDescent="0.25">
      <c r="A3" s="48" t="s">
        <v>6</v>
      </c>
      <c r="B3" s="46">
        <f>N8</f>
        <v>10802.965</v>
      </c>
      <c r="C3" s="47">
        <f>'Cost Structure'!E19</f>
        <v>99</v>
      </c>
      <c r="D3" s="49">
        <f>B3*C3</f>
        <v>1069493.5349999999</v>
      </c>
      <c r="F3" s="48" t="s">
        <v>6</v>
      </c>
      <c r="G3" s="50">
        <f>P8</f>
        <v>3706.63375</v>
      </c>
      <c r="H3" s="51">
        <f>'Cost Structure'!H3</f>
        <v>3</v>
      </c>
      <c r="I3" s="49">
        <f>G3*H3</f>
        <v>11119.901249999999</v>
      </c>
      <c r="K3" s="32" t="s">
        <v>39</v>
      </c>
      <c r="L3" s="32">
        <v>217831</v>
      </c>
      <c r="M3" s="35">
        <v>1.4999999999999999E-2</v>
      </c>
      <c r="N3" s="36">
        <f t="shared" ref="N3:N4" si="0">L3*M3</f>
        <v>3267.4649999999997</v>
      </c>
      <c r="O3" s="35">
        <v>0.35</v>
      </c>
      <c r="P3" s="36">
        <f>N3*O3</f>
        <v>1143.6127499999998</v>
      </c>
    </row>
    <row r="4" spans="1:16" x14ac:dyDescent="0.25">
      <c r="A4" s="48" t="s">
        <v>47</v>
      </c>
      <c r="B4" s="46">
        <f>$B$3*'Support data'!D3</f>
        <v>6265.9867628089105</v>
      </c>
      <c r="C4" s="47">
        <f>C3</f>
        <v>99</v>
      </c>
      <c r="D4" s="49">
        <f t="shared" ref="D4:D29" si="1">B4*C4</f>
        <v>620332.68951808219</v>
      </c>
      <c r="F4" s="48" t="s">
        <v>47</v>
      </c>
      <c r="G4" s="50">
        <f>$G$3*'Support data'!D3</f>
        <v>2149.939207623162</v>
      </c>
      <c r="H4" s="51">
        <f>H3</f>
        <v>3</v>
      </c>
      <c r="I4" s="49">
        <f t="shared" ref="I4:I29" si="2">G4*H4</f>
        <v>6449.8176228694865</v>
      </c>
      <c r="K4" s="32" t="s">
        <v>40</v>
      </c>
      <c r="L4" s="32">
        <v>113191</v>
      </c>
      <c r="M4" s="35">
        <v>0.02</v>
      </c>
      <c r="N4" s="36">
        <f t="shared" si="0"/>
        <v>2263.8200000000002</v>
      </c>
      <c r="O4" s="35">
        <v>0.55000000000000004</v>
      </c>
      <c r="P4" s="36">
        <f t="shared" ref="P4:P6" si="3">N4*O4</f>
        <v>1245.1010000000001</v>
      </c>
    </row>
    <row r="5" spans="1:16" x14ac:dyDescent="0.25">
      <c r="A5" s="48" t="s">
        <v>48</v>
      </c>
      <c r="B5" s="46">
        <f>$B$3*'Support data'!D4</f>
        <v>4845.6090801911723</v>
      </c>
      <c r="C5" s="47">
        <f t="shared" ref="C5:C29" si="4">C4</f>
        <v>99</v>
      </c>
      <c r="D5" s="49">
        <f t="shared" si="1"/>
        <v>479715.29893892608</v>
      </c>
      <c r="F5" s="48" t="s">
        <v>48</v>
      </c>
      <c r="G5" s="50">
        <f>$G$3*'Support data'!D4</f>
        <v>1662.5896831048749</v>
      </c>
      <c r="H5" s="51">
        <f t="shared" ref="H5:H29" si="5">H4</f>
        <v>3</v>
      </c>
      <c r="I5" s="49">
        <f t="shared" si="2"/>
        <v>4987.7690493146247</v>
      </c>
      <c r="K5" s="32" t="s">
        <v>41</v>
      </c>
      <c r="L5" s="32">
        <v>427060</v>
      </c>
      <c r="M5" s="35">
        <v>8.0000000000000002E-3</v>
      </c>
      <c r="N5" s="36">
        <f>L5*M5</f>
        <v>3416.48</v>
      </c>
      <c r="O5" s="35">
        <v>0.25</v>
      </c>
      <c r="P5" s="36">
        <f t="shared" si="3"/>
        <v>854.12</v>
      </c>
    </row>
    <row r="6" spans="1:16" x14ac:dyDescent="0.25">
      <c r="A6" s="48" t="s">
        <v>49</v>
      </c>
      <c r="B6" s="46">
        <f>$B$3*'Support data'!D5</f>
        <v>7929.8082317402086</v>
      </c>
      <c r="C6" s="47">
        <f t="shared" si="4"/>
        <v>99</v>
      </c>
      <c r="D6" s="49">
        <f t="shared" si="1"/>
        <v>785051.0149422806</v>
      </c>
      <c r="F6" s="48" t="s">
        <v>49</v>
      </c>
      <c r="G6" s="50">
        <f>$G$3*'Support data'!D5</f>
        <v>2720.8173703049192</v>
      </c>
      <c r="H6" s="51">
        <f t="shared" si="5"/>
        <v>3</v>
      </c>
      <c r="I6" s="49">
        <f t="shared" si="2"/>
        <v>8162.4521109147572</v>
      </c>
      <c r="K6" s="32" t="s">
        <v>43</v>
      </c>
      <c r="L6" s="32">
        <f>L13</f>
        <v>3092</v>
      </c>
      <c r="M6" s="35">
        <v>0.6</v>
      </c>
      <c r="N6" s="36">
        <f>L6*M6</f>
        <v>1855.1999999999998</v>
      </c>
      <c r="O6" s="35">
        <v>0.25</v>
      </c>
      <c r="P6" s="36">
        <f t="shared" si="3"/>
        <v>463.79999999999995</v>
      </c>
    </row>
    <row r="7" spans="1:16" x14ac:dyDescent="0.25">
      <c r="A7" s="48" t="s">
        <v>50</v>
      </c>
      <c r="B7" s="46">
        <f>$B$3*'Support data'!D6</f>
        <v>63373.707339205212</v>
      </c>
      <c r="C7" s="47">
        <f t="shared" si="4"/>
        <v>99</v>
      </c>
      <c r="D7" s="49">
        <f t="shared" si="1"/>
        <v>6273997.0265813163</v>
      </c>
      <c r="F7" s="48" t="s">
        <v>50</v>
      </c>
      <c r="G7" s="50">
        <f>$G$3*'Support data'!D6</f>
        <v>21744.319498037872</v>
      </c>
      <c r="H7" s="51">
        <f t="shared" si="5"/>
        <v>3</v>
      </c>
      <c r="I7" s="49">
        <f t="shared" si="2"/>
        <v>65232.958494113613</v>
      </c>
    </row>
    <row r="8" spans="1:16" x14ac:dyDescent="0.25">
      <c r="A8" s="48" t="s">
        <v>51</v>
      </c>
      <c r="B8" s="46">
        <f>$B$3*'Support data'!D7</f>
        <v>5212.207448468751</v>
      </c>
      <c r="C8" s="47">
        <f t="shared" si="4"/>
        <v>99</v>
      </c>
      <c r="D8" s="49">
        <f t="shared" si="1"/>
        <v>516008.53739840636</v>
      </c>
      <c r="F8" s="48" t="s">
        <v>51</v>
      </c>
      <c r="G8" s="50">
        <f>$G$3*'Support data'!D7</f>
        <v>1788.3742139769645</v>
      </c>
      <c r="H8" s="51">
        <f t="shared" si="5"/>
        <v>3</v>
      </c>
      <c r="I8" s="49">
        <f t="shared" si="2"/>
        <v>5365.1226419308932</v>
      </c>
      <c r="N8" s="36">
        <f>SUM(N3:N6)</f>
        <v>10802.965</v>
      </c>
      <c r="P8" s="36">
        <f>SUM(P3:P7)</f>
        <v>3706.63375</v>
      </c>
    </row>
    <row r="9" spans="1:16" x14ac:dyDescent="0.25">
      <c r="A9" s="48" t="s">
        <v>52</v>
      </c>
      <c r="B9" s="46">
        <f>$B$3*'Support data'!D8</f>
        <v>668.62795826193269</v>
      </c>
      <c r="C9" s="47">
        <f t="shared" si="4"/>
        <v>99</v>
      </c>
      <c r="D9" s="49">
        <f t="shared" si="1"/>
        <v>66194.167867931334</v>
      </c>
      <c r="F9" s="48" t="s">
        <v>52</v>
      </c>
      <c r="G9" s="50">
        <f>$G$3*'Support data'!D8</f>
        <v>229.41469830618456</v>
      </c>
      <c r="H9" s="51">
        <f t="shared" si="5"/>
        <v>3</v>
      </c>
      <c r="I9" s="49">
        <f t="shared" si="2"/>
        <v>688.24409491855363</v>
      </c>
    </row>
    <row r="10" spans="1:16" x14ac:dyDescent="0.2">
      <c r="A10" s="48" t="s">
        <v>53</v>
      </c>
      <c r="B10" s="46">
        <f>$B$3*'Support data'!D9</f>
        <v>9560.4878548374545</v>
      </c>
      <c r="C10" s="47">
        <f t="shared" si="4"/>
        <v>99</v>
      </c>
      <c r="D10" s="49">
        <f t="shared" si="1"/>
        <v>946488.29762890795</v>
      </c>
      <c r="F10" s="48" t="s">
        <v>53</v>
      </c>
      <c r="G10" s="50">
        <f>$G$3*'Support data'!D9</f>
        <v>3280.3241470471862</v>
      </c>
      <c r="H10" s="51">
        <f t="shared" si="5"/>
        <v>3</v>
      </c>
      <c r="I10" s="49">
        <f t="shared" si="2"/>
        <v>9840.9724411415591</v>
      </c>
      <c r="K10" s="37"/>
    </row>
    <row r="11" spans="1:16" x14ac:dyDescent="0.25">
      <c r="A11" s="48" t="s">
        <v>54</v>
      </c>
      <c r="B11" s="46">
        <f>$B$3*'Support data'!D10</f>
        <v>41899.251886824248</v>
      </c>
      <c r="C11" s="47">
        <f t="shared" si="4"/>
        <v>99</v>
      </c>
      <c r="D11" s="49">
        <f t="shared" si="1"/>
        <v>4148025.9367956007</v>
      </c>
      <c r="F11" s="48" t="s">
        <v>54</v>
      </c>
      <c r="G11" s="50">
        <f>$G$3*'Support data'!D10</f>
        <v>14376.16257605703</v>
      </c>
      <c r="H11" s="51">
        <f t="shared" si="5"/>
        <v>3</v>
      </c>
      <c r="I11" s="49">
        <f t="shared" si="2"/>
        <v>43128.487728171087</v>
      </c>
    </row>
    <row r="12" spans="1:16" x14ac:dyDescent="0.25">
      <c r="A12" s="48" t="s">
        <v>55</v>
      </c>
      <c r="B12" s="46">
        <f>$B$3*'Support data'!D11</f>
        <v>5175.8547694606114</v>
      </c>
      <c r="C12" s="47">
        <f t="shared" si="4"/>
        <v>99</v>
      </c>
      <c r="D12" s="49">
        <f t="shared" si="1"/>
        <v>512409.6221766005</v>
      </c>
      <c r="F12" s="48" t="s">
        <v>55</v>
      </c>
      <c r="G12" s="50">
        <f>$G$3*'Support data'!D11</f>
        <v>1775.9011506175545</v>
      </c>
      <c r="H12" s="51">
        <f t="shared" si="5"/>
        <v>3</v>
      </c>
      <c r="I12" s="49">
        <f t="shared" si="2"/>
        <v>5327.7034518526634</v>
      </c>
      <c r="K12" s="38" t="s">
        <v>44</v>
      </c>
      <c r="L12" s="38">
        <v>308</v>
      </c>
    </row>
    <row r="13" spans="1:16" x14ac:dyDescent="0.25">
      <c r="A13" s="48" t="s">
        <v>56</v>
      </c>
      <c r="B13" s="46">
        <f>$B$3*'Support data'!D12</f>
        <v>1182.6255603717509</v>
      </c>
      <c r="C13" s="47">
        <f t="shared" si="4"/>
        <v>99</v>
      </c>
      <c r="D13" s="49">
        <f t="shared" si="1"/>
        <v>117079.93047680333</v>
      </c>
      <c r="F13" s="48" t="s">
        <v>56</v>
      </c>
      <c r="G13" s="50">
        <f>$G$3*'Support data'!D12</f>
        <v>405.77376819110259</v>
      </c>
      <c r="H13" s="51">
        <f t="shared" si="5"/>
        <v>3</v>
      </c>
      <c r="I13" s="49">
        <f t="shared" si="2"/>
        <v>1217.3213045733078</v>
      </c>
      <c r="K13" s="38" t="s">
        <v>45</v>
      </c>
      <c r="L13" s="38">
        <v>3092</v>
      </c>
    </row>
    <row r="14" spans="1:16" x14ac:dyDescent="0.25">
      <c r="A14" s="48" t="s">
        <v>57</v>
      </c>
      <c r="B14" s="46">
        <f>$B$3*'Support data'!D13</f>
        <v>10059.764720124109</v>
      </c>
      <c r="C14" s="47">
        <f t="shared" si="4"/>
        <v>99</v>
      </c>
      <c r="D14" s="49">
        <f t="shared" si="1"/>
        <v>995916.7072922868</v>
      </c>
      <c r="F14" s="48" t="s">
        <v>57</v>
      </c>
      <c r="G14" s="50">
        <f>$G$3*'Support data'!D13</f>
        <v>3451.6323461819347</v>
      </c>
      <c r="H14" s="51">
        <f t="shared" si="5"/>
        <v>3</v>
      </c>
      <c r="I14" s="49">
        <f t="shared" si="2"/>
        <v>10354.897038545805</v>
      </c>
    </row>
    <row r="15" spans="1:16" x14ac:dyDescent="0.25">
      <c r="A15" s="48" t="s">
        <v>58</v>
      </c>
      <c r="B15" s="46">
        <f>$B$3*'Support data'!D14</f>
        <v>828.33276826341739</v>
      </c>
      <c r="C15" s="47">
        <f t="shared" si="4"/>
        <v>99</v>
      </c>
      <c r="D15" s="49">
        <f t="shared" si="1"/>
        <v>82004.944058078327</v>
      </c>
      <c r="F15" s="48" t="s">
        <v>58</v>
      </c>
      <c r="G15" s="50">
        <f>$G$3*'Support data'!D14</f>
        <v>284.21143594153193</v>
      </c>
      <c r="H15" s="51">
        <f t="shared" si="5"/>
        <v>3</v>
      </c>
      <c r="I15" s="49">
        <f t="shared" si="2"/>
        <v>852.63430782459579</v>
      </c>
    </row>
    <row r="16" spans="1:16" x14ac:dyDescent="0.25">
      <c r="A16" s="48" t="s">
        <v>59</v>
      </c>
      <c r="B16" s="46">
        <f>$B$3*'Support data'!D15</f>
        <v>13617.668532444435</v>
      </c>
      <c r="C16" s="47">
        <f t="shared" si="4"/>
        <v>99</v>
      </c>
      <c r="D16" s="49">
        <f t="shared" si="1"/>
        <v>1348149.184711999</v>
      </c>
      <c r="F16" s="48" t="s">
        <v>59</v>
      </c>
      <c r="G16" s="50">
        <f>$G$3*'Support data'!D15</f>
        <v>4672.3940861301971</v>
      </c>
      <c r="H16" s="51">
        <f t="shared" si="5"/>
        <v>3</v>
      </c>
      <c r="I16" s="49">
        <f t="shared" si="2"/>
        <v>14017.182258390592</v>
      </c>
    </row>
    <row r="17" spans="1:9" x14ac:dyDescent="0.25">
      <c r="A17" s="48" t="s">
        <v>60</v>
      </c>
      <c r="B17" s="46">
        <f>$B$3*'Support data'!D16</f>
        <v>5679.9706126605943</v>
      </c>
      <c r="C17" s="47">
        <f t="shared" si="4"/>
        <v>99</v>
      </c>
      <c r="D17" s="49">
        <f t="shared" si="1"/>
        <v>562317.09065339889</v>
      </c>
      <c r="F17" s="48" t="s">
        <v>60</v>
      </c>
      <c r="G17" s="50">
        <f>$G$3*'Support data'!D16</f>
        <v>1948.8696641982951</v>
      </c>
      <c r="H17" s="51">
        <f t="shared" si="5"/>
        <v>3</v>
      </c>
      <c r="I17" s="49">
        <f t="shared" si="2"/>
        <v>5846.6089925948854</v>
      </c>
    </row>
    <row r="18" spans="1:9" x14ac:dyDescent="0.25">
      <c r="A18" s="48" t="s">
        <v>61</v>
      </c>
      <c r="B18" s="46">
        <f>$B$3*'Support data'!D17</f>
        <v>11318.56656376982</v>
      </c>
      <c r="C18" s="47">
        <f t="shared" si="4"/>
        <v>99</v>
      </c>
      <c r="D18" s="49">
        <f t="shared" si="1"/>
        <v>1120538.0898132122</v>
      </c>
      <c r="F18" s="48" t="s">
        <v>61</v>
      </c>
      <c r="G18" s="50">
        <f>$G$3*'Support data'!D17</f>
        <v>3883.5431593910321</v>
      </c>
      <c r="H18" s="51">
        <f t="shared" si="5"/>
        <v>3</v>
      </c>
      <c r="I18" s="49">
        <f t="shared" si="2"/>
        <v>11650.629478173096</v>
      </c>
    </row>
    <row r="19" spans="1:9" x14ac:dyDescent="0.25">
      <c r="A19" s="48" t="s">
        <v>62</v>
      </c>
      <c r="B19" s="46">
        <f>$B$3*'Support data'!D18</f>
        <v>919.63857522557407</v>
      </c>
      <c r="C19" s="47">
        <f t="shared" si="4"/>
        <v>99</v>
      </c>
      <c r="D19" s="49">
        <f t="shared" si="1"/>
        <v>91044.218947331829</v>
      </c>
      <c r="F19" s="48" t="s">
        <v>62</v>
      </c>
      <c r="G19" s="50">
        <f>$G$3*'Support data'!D18</f>
        <v>315.53961164671244</v>
      </c>
      <c r="H19" s="51">
        <f t="shared" si="5"/>
        <v>3</v>
      </c>
      <c r="I19" s="49">
        <f t="shared" si="2"/>
        <v>946.61883494013728</v>
      </c>
    </row>
    <row r="20" spans="1:9" x14ac:dyDescent="0.25">
      <c r="A20" s="48" t="s">
        <v>63</v>
      </c>
      <c r="B20" s="46">
        <f>$B$3*'Support data'!D19</f>
        <v>19865.895332842254</v>
      </c>
      <c r="C20" s="47">
        <f t="shared" si="4"/>
        <v>99</v>
      </c>
      <c r="D20" s="49">
        <f t="shared" si="1"/>
        <v>1966723.6379513831</v>
      </c>
      <c r="F20" s="48" t="s">
        <v>63</v>
      </c>
      <c r="G20" s="50">
        <f>$G$3*'Support data'!D19</f>
        <v>6816.2396263137553</v>
      </c>
      <c r="H20" s="51">
        <f t="shared" si="5"/>
        <v>3</v>
      </c>
      <c r="I20" s="49">
        <f t="shared" si="2"/>
        <v>20448.718878941265</v>
      </c>
    </row>
    <row r="21" spans="1:9" x14ac:dyDescent="0.25">
      <c r="A21" s="48" t="s">
        <v>64</v>
      </c>
      <c r="B21" s="46">
        <f>$B$3*'Support data'!D20</f>
        <v>90421.093681812345</v>
      </c>
      <c r="C21" s="47">
        <f t="shared" si="4"/>
        <v>99</v>
      </c>
      <c r="D21" s="49">
        <f t="shared" si="1"/>
        <v>8951688.2744994219</v>
      </c>
      <c r="F21" s="48" t="s">
        <v>64</v>
      </c>
      <c r="G21" s="50">
        <f>$G$3*'Support data'!D20</f>
        <v>31024.61940336911</v>
      </c>
      <c r="H21" s="51">
        <f t="shared" si="5"/>
        <v>3</v>
      </c>
      <c r="I21" s="49">
        <f t="shared" si="2"/>
        <v>93073.858210107326</v>
      </c>
    </row>
    <row r="22" spans="1:9" x14ac:dyDescent="0.25">
      <c r="A22" s="48" t="s">
        <v>65</v>
      </c>
      <c r="B22" s="46">
        <f>$B$3*'Support data'!D21</f>
        <v>28911.402109151037</v>
      </c>
      <c r="C22" s="47">
        <f t="shared" si="4"/>
        <v>99</v>
      </c>
      <c r="D22" s="49">
        <f t="shared" si="1"/>
        <v>2862228.8088059528</v>
      </c>
      <c r="F22" s="48" t="s">
        <v>65</v>
      </c>
      <c r="G22" s="50">
        <f>$G$3*'Support data'!D21</f>
        <v>9919.8672602938568</v>
      </c>
      <c r="H22" s="51">
        <f t="shared" si="5"/>
        <v>3</v>
      </c>
      <c r="I22" s="49">
        <f t="shared" si="2"/>
        <v>29759.60178088157</v>
      </c>
    </row>
    <row r="23" spans="1:9" x14ac:dyDescent="0.25">
      <c r="A23" s="48" t="s">
        <v>46</v>
      </c>
      <c r="B23" s="46">
        <f>$B$3*'Support data'!D22</f>
        <v>112466.73018768273</v>
      </c>
      <c r="C23" s="47">
        <f t="shared" si="4"/>
        <v>99</v>
      </c>
      <c r="D23" s="49">
        <f t="shared" si="1"/>
        <v>11134206.288580589</v>
      </c>
      <c r="F23" s="48" t="s">
        <v>46</v>
      </c>
      <c r="G23" s="50">
        <f>$G$3*'Support data'!D22</f>
        <v>38588.755759720465</v>
      </c>
      <c r="H23" s="51">
        <f t="shared" si="5"/>
        <v>3</v>
      </c>
      <c r="I23" s="49">
        <f t="shared" si="2"/>
        <v>115766.2672791614</v>
      </c>
    </row>
    <row r="24" spans="1:9" x14ac:dyDescent="0.25">
      <c r="A24" s="48" t="s">
        <v>66</v>
      </c>
      <c r="B24" s="46">
        <f>$B$3*'Support data'!D23</f>
        <v>3211.9224245658656</v>
      </c>
      <c r="C24" s="47">
        <f t="shared" si="4"/>
        <v>99</v>
      </c>
      <c r="D24" s="49">
        <f t="shared" si="1"/>
        <v>317980.32003202068</v>
      </c>
      <c r="F24" s="48" t="s">
        <v>66</v>
      </c>
      <c r="G24" s="50">
        <f>$G$3*'Support data'!D23</f>
        <v>1102.0511555186624</v>
      </c>
      <c r="H24" s="51">
        <f t="shared" si="5"/>
        <v>3</v>
      </c>
      <c r="I24" s="49">
        <f t="shared" si="2"/>
        <v>3306.1534665559875</v>
      </c>
    </row>
    <row r="25" spans="1:9" x14ac:dyDescent="0.25">
      <c r="A25" s="48" t="s">
        <v>67</v>
      </c>
      <c r="B25" s="46">
        <f>$B$3*'Support data'!D24</f>
        <v>1461.8081717177674</v>
      </c>
      <c r="C25" s="47">
        <f t="shared" si="4"/>
        <v>99</v>
      </c>
      <c r="D25" s="49">
        <f t="shared" si="1"/>
        <v>144719.00900005898</v>
      </c>
      <c r="F25" s="48" t="s">
        <v>67</v>
      </c>
      <c r="G25" s="50">
        <f>$G$3*'Support data'!D24</f>
        <v>501.56484866098077</v>
      </c>
      <c r="H25" s="51">
        <f t="shared" si="5"/>
        <v>3</v>
      </c>
      <c r="I25" s="49">
        <f t="shared" si="2"/>
        <v>1504.6945459829424</v>
      </c>
    </row>
    <row r="26" spans="1:9" x14ac:dyDescent="0.25">
      <c r="A26" s="48" t="s">
        <v>68</v>
      </c>
      <c r="B26" s="46">
        <f>$B$3*'Support data'!D25</f>
        <v>2859.1561445960788</v>
      </c>
      <c r="C26" s="47">
        <f t="shared" si="4"/>
        <v>99</v>
      </c>
      <c r="D26" s="49">
        <f t="shared" si="1"/>
        <v>283056.45831501181</v>
      </c>
      <c r="F26" s="48" t="s">
        <v>68</v>
      </c>
      <c r="G26" s="50">
        <f>$G$3*'Support data'!D25</f>
        <v>981.01258886608491</v>
      </c>
      <c r="H26" s="51">
        <f t="shared" si="5"/>
        <v>3</v>
      </c>
      <c r="I26" s="49">
        <f t="shared" si="2"/>
        <v>2943.0377665982546</v>
      </c>
    </row>
    <row r="27" spans="1:9" x14ac:dyDescent="0.25">
      <c r="A27" s="48" t="s">
        <v>69</v>
      </c>
      <c r="B27" s="46">
        <f>$B$3*'Support data'!D26</f>
        <v>5425.9983455531356</v>
      </c>
      <c r="C27" s="47">
        <f t="shared" si="4"/>
        <v>99</v>
      </c>
      <c r="D27" s="49">
        <f t="shared" si="1"/>
        <v>537173.8362097604</v>
      </c>
      <c r="F27" s="48" t="s">
        <v>69</v>
      </c>
      <c r="G27" s="50">
        <f>$G$3*'Support data'!D26</f>
        <v>1861.7285712831074</v>
      </c>
      <c r="H27" s="51">
        <f t="shared" si="5"/>
        <v>3</v>
      </c>
      <c r="I27" s="49">
        <f t="shared" si="2"/>
        <v>5585.1857138493224</v>
      </c>
    </row>
    <row r="28" spans="1:9" x14ac:dyDescent="0.25">
      <c r="A28" s="48" t="s">
        <v>70</v>
      </c>
      <c r="B28" s="46">
        <f>$B$3*'Support data'!D27</f>
        <v>26675.358489996914</v>
      </c>
      <c r="C28" s="47">
        <f t="shared" si="4"/>
        <v>99</v>
      </c>
      <c r="D28" s="49">
        <f t="shared" si="1"/>
        <v>2640860.4905096944</v>
      </c>
      <c r="F28" s="48" t="s">
        <v>70</v>
      </c>
      <c r="G28" s="50">
        <f>$G$3*'Support data'!D27</f>
        <v>9152.6524498016606</v>
      </c>
      <c r="H28" s="51">
        <f t="shared" si="5"/>
        <v>3</v>
      </c>
      <c r="I28" s="49">
        <f t="shared" si="2"/>
        <v>27457.957349404984</v>
      </c>
    </row>
    <row r="29" spans="1:9" x14ac:dyDescent="0.25">
      <c r="A29" s="48" t="s">
        <v>71</v>
      </c>
      <c r="B29" s="46">
        <f>$B$3*'Support data'!D28</f>
        <v>10184.344821198674</v>
      </c>
      <c r="C29" s="47">
        <f t="shared" si="4"/>
        <v>99</v>
      </c>
      <c r="D29" s="49">
        <f t="shared" si="1"/>
        <v>1008250.1372986687</v>
      </c>
      <c r="F29" s="48" t="s">
        <v>71</v>
      </c>
      <c r="G29" s="50">
        <f>$G$3*'Support data'!D28</f>
        <v>3494.3773525039396</v>
      </c>
      <c r="H29" s="51">
        <f t="shared" si="5"/>
        <v>3</v>
      </c>
      <c r="I29" s="49">
        <f t="shared" si="2"/>
        <v>10483.132057511819</v>
      </c>
    </row>
    <row r="30" spans="1:9" x14ac:dyDescent="0.25">
      <c r="D30" s="53">
        <f>SUM(D3:D29)</f>
        <v>49581653.554003716</v>
      </c>
      <c r="I30" s="53">
        <f>SUM(I3:I29)</f>
        <v>515517.9281492646</v>
      </c>
    </row>
    <row r="33" spans="1:9" x14ac:dyDescent="0.25">
      <c r="A33" s="85" t="s">
        <v>76</v>
      </c>
      <c r="B33" s="85"/>
      <c r="C33" s="56">
        <f>SUM(B3:B29)</f>
        <v>500824.7833737749</v>
      </c>
    </row>
    <row r="34" spans="1:9" x14ac:dyDescent="0.25">
      <c r="A34" s="85" t="s">
        <v>77</v>
      </c>
      <c r="B34" s="85"/>
      <c r="C34" s="56">
        <f>SUM(G3:G29)</f>
        <v>171839.30938308817</v>
      </c>
    </row>
    <row r="36" spans="1:9" x14ac:dyDescent="0.25">
      <c r="B36" s="86" t="s">
        <v>11</v>
      </c>
      <c r="C36" s="86"/>
      <c r="D36" s="86"/>
      <c r="G36" s="86" t="s">
        <v>81</v>
      </c>
      <c r="H36" s="86"/>
      <c r="I36" s="86"/>
    </row>
    <row r="37" spans="1:9" x14ac:dyDescent="0.25">
      <c r="A37" s="75" t="s">
        <v>78</v>
      </c>
      <c r="B37" s="76">
        <f>$C$33*0.085</f>
        <v>42570.106586770868</v>
      </c>
      <c r="C37" s="77">
        <f>C3</f>
        <v>99</v>
      </c>
      <c r="D37" s="78">
        <f>B37*C37</f>
        <v>4214440.5520903161</v>
      </c>
      <c r="G37" s="57">
        <f>$C$34*0.075</f>
        <v>12887.948203731612</v>
      </c>
      <c r="H37" s="10">
        <f>H21</f>
        <v>3</v>
      </c>
      <c r="I37" s="79">
        <f>G37*H37</f>
        <v>38663.844611194836</v>
      </c>
    </row>
    <row r="38" spans="1:9" x14ac:dyDescent="0.25">
      <c r="A38" s="75" t="s">
        <v>79</v>
      </c>
      <c r="B38" s="76">
        <f>$C$33*0.1</f>
        <v>50082.478337377492</v>
      </c>
      <c r="C38" s="77">
        <f>C37*1.015</f>
        <v>100.48499999999999</v>
      </c>
      <c r="D38" s="78">
        <f t="shared" ref="D38:D39" si="6">B38*C38</f>
        <v>5032537.8357313769</v>
      </c>
      <c r="G38" s="57">
        <f>$C$34*0.09</f>
        <v>15465.537844477934</v>
      </c>
      <c r="H38" s="10">
        <f t="shared" ref="H38:H39" si="7">H22</f>
        <v>3</v>
      </c>
      <c r="I38" s="79">
        <f t="shared" ref="I38:I39" si="8">G38*H38</f>
        <v>46396.613533433803</v>
      </c>
    </row>
    <row r="39" spans="1:9" x14ac:dyDescent="0.25">
      <c r="A39" s="75" t="s">
        <v>80</v>
      </c>
      <c r="B39" s="76">
        <f>$C$33*0.115</f>
        <v>57594.850087984116</v>
      </c>
      <c r="C39" s="77">
        <f>C38*1.01</f>
        <v>101.48984999999999</v>
      </c>
      <c r="D39" s="78">
        <f t="shared" si="6"/>
        <v>5845292.6962019941</v>
      </c>
      <c r="G39" s="57">
        <f>$C$34*0.1</f>
        <v>17183.930938308818</v>
      </c>
      <c r="H39" s="10">
        <f t="shared" si="7"/>
        <v>3</v>
      </c>
      <c r="I39" s="79">
        <f t="shared" si="8"/>
        <v>51551.792814926455</v>
      </c>
    </row>
  </sheetData>
  <mergeCells count="6">
    <mergeCell ref="A1:D1"/>
    <mergeCell ref="F1:I1"/>
    <mergeCell ref="A33:B33"/>
    <mergeCell ref="A34:B34"/>
    <mergeCell ref="B36:D36"/>
    <mergeCell ref="G36:I3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5" workbookViewId="0">
      <selection activeCell="D3" sqref="D3:D28"/>
    </sheetView>
  </sheetViews>
  <sheetFormatPr defaultColWidth="14.26953125" defaultRowHeight="12" x14ac:dyDescent="0.3"/>
  <cols>
    <col min="1" max="3" width="14.26953125" style="39"/>
    <col min="4" max="4" width="16.54296875" style="39" bestFit="1" customWidth="1"/>
    <col min="5" max="16384" width="14.26953125" style="39"/>
  </cols>
  <sheetData>
    <row r="1" spans="1:4" ht="12.5" thickBot="1" x14ac:dyDescent="0.35">
      <c r="A1" s="87" t="s">
        <v>72</v>
      </c>
      <c r="B1" s="87"/>
      <c r="D1" s="52" t="s">
        <v>84</v>
      </c>
    </row>
    <row r="2" spans="1:4" ht="12.5" thickBot="1" x14ac:dyDescent="0.35">
      <c r="A2" s="43" t="s">
        <v>6</v>
      </c>
      <c r="B2" s="44">
        <v>10276617</v>
      </c>
      <c r="C2" s="45"/>
    </row>
    <row r="3" spans="1:4" ht="12.5" thickBot="1" x14ac:dyDescent="0.35">
      <c r="A3" s="40" t="s">
        <v>47</v>
      </c>
      <c r="B3" s="41">
        <v>8858775</v>
      </c>
      <c r="C3" s="45">
        <f t="shared" ref="C3:C28" si="0">$B$2/B3</f>
        <v>1.1600494425019261</v>
      </c>
      <c r="D3" s="39">
        <f>C3*0.5</f>
        <v>0.58002472125096305</v>
      </c>
    </row>
    <row r="4" spans="1:4" ht="12.5" thickBot="1" x14ac:dyDescent="0.35">
      <c r="A4" s="40" t="s">
        <v>48</v>
      </c>
      <c r="B4" s="41">
        <v>11455519</v>
      </c>
      <c r="C4" s="45">
        <f t="shared" si="0"/>
        <v>0.89708873076811269</v>
      </c>
      <c r="D4" s="39">
        <f t="shared" ref="D4:D28" si="1">C4*0.5</f>
        <v>0.44854436538405634</v>
      </c>
    </row>
    <row r="5" spans="1:4" ht="12.5" thickBot="1" x14ac:dyDescent="0.35">
      <c r="A5" s="40" t="s">
        <v>49</v>
      </c>
      <c r="B5" s="41">
        <v>7000039</v>
      </c>
      <c r="C5" s="45">
        <f t="shared" si="0"/>
        <v>1.4680799635544888</v>
      </c>
      <c r="D5" s="39">
        <f t="shared" si="1"/>
        <v>0.73403998177724439</v>
      </c>
    </row>
    <row r="6" spans="1:4" ht="12.5" thickBot="1" x14ac:dyDescent="0.35">
      <c r="A6" s="40" t="s">
        <v>50</v>
      </c>
      <c r="B6" s="41">
        <v>875899</v>
      </c>
      <c r="C6" s="45">
        <f t="shared" si="0"/>
        <v>11.732650682327529</v>
      </c>
      <c r="D6" s="39">
        <f t="shared" si="1"/>
        <v>5.8663253411637646</v>
      </c>
    </row>
    <row r="7" spans="1:4" ht="12.5" thickBot="1" x14ac:dyDescent="0.35">
      <c r="A7" s="40" t="s">
        <v>51</v>
      </c>
      <c r="B7" s="41">
        <v>10649800</v>
      </c>
      <c r="C7" s="45">
        <f t="shared" si="0"/>
        <v>0.96495868467013468</v>
      </c>
      <c r="D7" s="39">
        <f t="shared" si="1"/>
        <v>0.48247934233506734</v>
      </c>
    </row>
    <row r="8" spans="1:4" ht="12.5" thickBot="1" x14ac:dyDescent="0.35">
      <c r="A8" s="40" t="s">
        <v>52</v>
      </c>
      <c r="B8" s="41">
        <v>83019213</v>
      </c>
      <c r="C8" s="45">
        <f t="shared" si="0"/>
        <v>0.12378600842674815</v>
      </c>
      <c r="D8" s="39">
        <f t="shared" si="1"/>
        <v>6.1893004213374077E-2</v>
      </c>
    </row>
    <row r="9" spans="1:4" ht="12.5" thickBot="1" x14ac:dyDescent="0.35">
      <c r="A9" s="40" t="s">
        <v>53</v>
      </c>
      <c r="B9" s="41">
        <v>5806081</v>
      </c>
      <c r="C9" s="45">
        <f t="shared" si="0"/>
        <v>1.7699747902242493</v>
      </c>
      <c r="D9" s="39">
        <f t="shared" si="1"/>
        <v>0.88498739511212465</v>
      </c>
    </row>
    <row r="10" spans="1:4" ht="12.5" thickBot="1" x14ac:dyDescent="0.35">
      <c r="A10" s="40" t="s">
        <v>54</v>
      </c>
      <c r="B10" s="41">
        <v>1324820</v>
      </c>
      <c r="C10" s="45">
        <f t="shared" si="0"/>
        <v>7.7569911384188037</v>
      </c>
      <c r="D10" s="39">
        <f t="shared" si="1"/>
        <v>3.8784955692094019</v>
      </c>
    </row>
    <row r="11" spans="1:4" ht="12.5" thickBot="1" x14ac:dyDescent="0.35">
      <c r="A11" s="40" t="s">
        <v>55</v>
      </c>
      <c r="B11" s="41">
        <v>10724599</v>
      </c>
      <c r="C11" s="45">
        <f t="shared" si="0"/>
        <v>0.95822855474596302</v>
      </c>
      <c r="D11" s="39">
        <f t="shared" si="1"/>
        <v>0.47911427737298151</v>
      </c>
    </row>
    <row r="12" spans="1:4" ht="12.5" thickBot="1" x14ac:dyDescent="0.35">
      <c r="A12" s="40" t="s">
        <v>56</v>
      </c>
      <c r="B12" s="41">
        <v>46937060</v>
      </c>
      <c r="C12" s="45">
        <f t="shared" si="0"/>
        <v>0.21894462499355519</v>
      </c>
      <c r="D12" s="39">
        <f t="shared" si="1"/>
        <v>0.10947231249677759</v>
      </c>
    </row>
    <row r="13" spans="1:4" ht="12.5" thickBot="1" x14ac:dyDescent="0.35">
      <c r="A13" s="40" t="s">
        <v>57</v>
      </c>
      <c r="B13" s="41">
        <v>5517919</v>
      </c>
      <c r="C13" s="45">
        <f t="shared" si="0"/>
        <v>1.8624080926160751</v>
      </c>
      <c r="D13" s="39">
        <f t="shared" si="1"/>
        <v>0.93120404630803755</v>
      </c>
    </row>
    <row r="14" spans="1:4" ht="12.5" thickBot="1" x14ac:dyDescent="0.35">
      <c r="A14" s="40" t="s">
        <v>58</v>
      </c>
      <c r="B14" s="41">
        <v>67012883</v>
      </c>
      <c r="C14" s="45">
        <f t="shared" si="0"/>
        <v>0.1533528560470977</v>
      </c>
      <c r="D14" s="39">
        <f t="shared" si="1"/>
        <v>7.6676428023548848E-2</v>
      </c>
    </row>
    <row r="15" spans="1:4" ht="12.5" thickBot="1" x14ac:dyDescent="0.35">
      <c r="A15" s="40" t="s">
        <v>59</v>
      </c>
      <c r="B15" s="41">
        <v>4076246</v>
      </c>
      <c r="C15" s="45">
        <f t="shared" si="0"/>
        <v>2.5210983341044675</v>
      </c>
      <c r="D15" s="39">
        <f t="shared" si="1"/>
        <v>1.2605491670522337</v>
      </c>
    </row>
    <row r="16" spans="1:4" ht="12.5" thickBot="1" x14ac:dyDescent="0.35">
      <c r="A16" s="40" t="s">
        <v>60</v>
      </c>
      <c r="B16" s="41">
        <v>9772756</v>
      </c>
      <c r="C16" s="45">
        <f t="shared" si="0"/>
        <v>1.0515577182117306</v>
      </c>
      <c r="D16" s="39">
        <f t="shared" si="1"/>
        <v>0.5257788591058653</v>
      </c>
    </row>
    <row r="17" spans="1:4" ht="12.5" thickBot="1" x14ac:dyDescent="0.35">
      <c r="A17" s="40" t="s">
        <v>61</v>
      </c>
      <c r="B17" s="41">
        <v>4904240</v>
      </c>
      <c r="C17" s="45">
        <f t="shared" si="0"/>
        <v>2.0954555649805067</v>
      </c>
      <c r="D17" s="39">
        <f t="shared" si="1"/>
        <v>1.0477277824902533</v>
      </c>
    </row>
    <row r="18" spans="1:4" ht="12.5" thickBot="1" x14ac:dyDescent="0.35">
      <c r="A18" s="40" t="s">
        <v>62</v>
      </c>
      <c r="B18" s="41">
        <v>60359546</v>
      </c>
      <c r="C18" s="45">
        <f t="shared" si="0"/>
        <v>0.17025669808715924</v>
      </c>
      <c r="D18" s="39">
        <f t="shared" si="1"/>
        <v>8.5128349043579618E-2</v>
      </c>
    </row>
    <row r="19" spans="1:4" ht="12.5" thickBot="1" x14ac:dyDescent="0.35">
      <c r="A19" s="40" t="s">
        <v>63</v>
      </c>
      <c r="B19" s="41">
        <v>2794184</v>
      </c>
      <c r="C19" s="45">
        <f t="shared" si="0"/>
        <v>3.6778597973504965</v>
      </c>
      <c r="D19" s="39">
        <f t="shared" si="1"/>
        <v>1.8389298986752483</v>
      </c>
    </row>
    <row r="20" spans="1:4" ht="12.5" thickBot="1" x14ac:dyDescent="0.35">
      <c r="A20" s="40" t="s">
        <v>64</v>
      </c>
      <c r="B20" s="41">
        <v>613894</v>
      </c>
      <c r="C20" s="45">
        <f t="shared" si="0"/>
        <v>16.740051214053242</v>
      </c>
      <c r="D20" s="39">
        <f t="shared" si="1"/>
        <v>8.370025607026621</v>
      </c>
    </row>
    <row r="21" spans="1:4" ht="12.5" thickBot="1" x14ac:dyDescent="0.35">
      <c r="A21" s="40" t="s">
        <v>65</v>
      </c>
      <c r="B21" s="41">
        <v>1919968</v>
      </c>
      <c r="C21" s="45">
        <f t="shared" si="0"/>
        <v>5.3524938957315955</v>
      </c>
      <c r="D21" s="39">
        <f t="shared" si="1"/>
        <v>2.6762469478657978</v>
      </c>
    </row>
    <row r="22" spans="1:4" ht="12.5" thickBot="1" x14ac:dyDescent="0.35">
      <c r="A22" s="40" t="s">
        <v>46</v>
      </c>
      <c r="B22" s="41">
        <v>493559</v>
      </c>
      <c r="C22" s="45">
        <f t="shared" si="0"/>
        <v>20.821455996142305</v>
      </c>
      <c r="D22" s="39">
        <f t="shared" si="1"/>
        <v>10.410727998071152</v>
      </c>
    </row>
    <row r="23" spans="1:4" ht="12.5" thickBot="1" x14ac:dyDescent="0.35">
      <c r="A23" s="40" t="s">
        <v>66</v>
      </c>
      <c r="B23" s="41">
        <v>17282163</v>
      </c>
      <c r="C23" s="45">
        <f t="shared" si="0"/>
        <v>0.59463719905893719</v>
      </c>
      <c r="D23" s="39">
        <f t="shared" si="1"/>
        <v>0.2973185995294686</v>
      </c>
    </row>
    <row r="24" spans="1:4" ht="12.5" thickBot="1" x14ac:dyDescent="0.35">
      <c r="A24" s="40" t="s">
        <v>67</v>
      </c>
      <c r="B24" s="41">
        <v>37972812</v>
      </c>
      <c r="C24" s="45">
        <f t="shared" si="0"/>
        <v>0.27063091877420087</v>
      </c>
      <c r="D24" s="39">
        <f t="shared" si="1"/>
        <v>0.13531545938710043</v>
      </c>
    </row>
    <row r="25" spans="1:4" ht="12.5" thickBot="1" x14ac:dyDescent="0.35">
      <c r="A25" s="40" t="s">
        <v>68</v>
      </c>
      <c r="B25" s="41">
        <v>19414458</v>
      </c>
      <c r="C25" s="45">
        <f t="shared" si="0"/>
        <v>0.52932803995867406</v>
      </c>
      <c r="D25" s="39">
        <f t="shared" si="1"/>
        <v>0.26466401997933703</v>
      </c>
    </row>
    <row r="26" spans="1:4" ht="12.5" thickBot="1" x14ac:dyDescent="0.35">
      <c r="A26" s="40" t="s">
        <v>69</v>
      </c>
      <c r="B26" s="41">
        <v>10230185</v>
      </c>
      <c r="C26" s="45">
        <f t="shared" si="0"/>
        <v>1.0045387253505191</v>
      </c>
      <c r="D26" s="39">
        <f t="shared" si="1"/>
        <v>0.50226936267525957</v>
      </c>
    </row>
    <row r="27" spans="1:4" ht="12.5" thickBot="1" x14ac:dyDescent="0.35">
      <c r="A27" s="40" t="s">
        <v>70</v>
      </c>
      <c r="B27" s="41">
        <v>2080908</v>
      </c>
      <c r="C27" s="45">
        <f t="shared" si="0"/>
        <v>4.9385253937223554</v>
      </c>
      <c r="D27" s="39">
        <f t="shared" si="1"/>
        <v>2.4692626968611777</v>
      </c>
    </row>
    <row r="28" spans="1:4" ht="12.5" thickBot="1" x14ac:dyDescent="0.35">
      <c r="A28" s="40" t="s">
        <v>71</v>
      </c>
      <c r="B28" s="41">
        <v>5450421</v>
      </c>
      <c r="C28" s="45">
        <f t="shared" si="0"/>
        <v>1.8854721497660456</v>
      </c>
      <c r="D28" s="39">
        <f t="shared" si="1"/>
        <v>0.9427360748830228</v>
      </c>
    </row>
    <row r="29" spans="1:4" x14ac:dyDescent="0.3">
      <c r="A29" s="42"/>
      <c r="B29" s="4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RESUME</vt:lpstr>
      <vt:lpstr>Cost Structure</vt:lpstr>
      <vt:lpstr>Sales Structure</vt:lpstr>
      <vt:lpstr>Support data</vt:lpstr>
    </vt:vector>
  </TitlesOfParts>
  <Company>Universidade do Algarve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lprodrigues</dc:creator>
  <cp:lastModifiedBy>Hugo Barros</cp:lastModifiedBy>
  <cp:lastPrinted>2012-06-28T16:01:48Z</cp:lastPrinted>
  <dcterms:created xsi:type="dcterms:W3CDTF">2009-07-28T13:47:38Z</dcterms:created>
  <dcterms:modified xsi:type="dcterms:W3CDTF">2020-04-26T23:47:15Z</dcterms:modified>
</cp:coreProperties>
</file>