
<file path=[Content_Types].xml><?xml version="1.0" encoding="utf-8"?>
<Types xmlns="http://schemas.openxmlformats.org/package/2006/content-types">
  <Default Extension="jpeg" ContentType="image/jpeg"/>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drawings/drawing3.xml" ContentType="application/vnd.openxmlformats-officedocument.drawing+xml"/>
  <Override PartName="/xl/ctrlProps/ctrlProp2.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trlProps/ctrlProp3.xml" ContentType="application/vnd.ms-excel.controlproperties+xml"/>
  <Override PartName="/xl/drawings/drawing5.xml" ContentType="application/vnd.openxmlformats-officedocument.drawing+xml"/>
  <Override PartName="/xl/ctrlProps/ctrlProp4.xml" ContentType="application/vnd.ms-excel.controlproperties+xml"/>
  <Override PartName="/xl/drawings/drawing6.xml" ContentType="application/vnd.openxmlformats-officedocument.drawing+xml"/>
  <Override PartName="/xl/ctrlProps/ctrlProp5.xml" ContentType="application/vnd.ms-excel.controlproperties+xml"/>
  <Override PartName="/xl/drawings/drawing7.xml" ContentType="application/vnd.openxmlformats-officedocument.drawing+xml"/>
  <Override PartName="/xl/ctrlProps/ctrlProp6.xml" ContentType="application/vnd.ms-excel.controlproperties+xml"/>
  <Override PartName="/xl/drawings/drawing8.xml" ContentType="application/vnd.openxmlformats-officedocument.drawing+xml"/>
  <Override PartName="/xl/ctrlProps/ctrlProp7.xml" ContentType="application/vnd.ms-excel.controlproperties+xml"/>
  <Override PartName="/xl/drawings/drawing9.xml" ContentType="application/vnd.openxmlformats-officedocument.drawing+xml"/>
  <Override PartName="/xl/ctrlProps/ctrlProp8.xml" ContentType="application/vnd.ms-excel.controlproperties+xml"/>
  <Override PartName="/xl/drawings/drawing10.xml" ContentType="application/vnd.openxmlformats-officedocument.drawing+xml"/>
  <Override PartName="/xl/ctrlProps/ctrlProp9.xml" ContentType="application/vnd.ms-excel.controlpropertie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202300"/>
  <mc:AlternateContent xmlns:mc="http://schemas.openxmlformats.org/markup-compatibility/2006">
    <mc:Choice Requires="x15">
      <x15ac:absPath xmlns:x15ac="http://schemas.microsoft.com/office/spreadsheetml/2010/11/ac" url="C:\Users\Ikechukwu\Documents\"/>
    </mc:Choice>
  </mc:AlternateContent>
  <xr:revisionPtr revIDLastSave="0" documentId="8_{6FB451EE-B9A5-4B52-812D-54EBCAA2817A}" xr6:coauthVersionLast="47" xr6:coauthVersionMax="47" xr10:uidLastSave="{00000000-0000-0000-0000-000000000000}"/>
  <bookViews>
    <workbookView xWindow="-110" yWindow="-110" windowWidth="19420" windowHeight="11500" xr2:uid="{0B902456-06AD-4B7F-B5CA-35A10A3A0681}"/>
  </bookViews>
  <sheets>
    <sheet name="Cover Page" sheetId="12" r:id="rId1"/>
    <sheet name="Summary Page" sheetId="2" r:id="rId2"/>
    <sheet name="Table of Content" sheetId="3" r:id="rId3"/>
    <sheet name="Dashboard" sheetId="4" r:id="rId4"/>
    <sheet name="Assumption" sheetId="5" r:id="rId5"/>
    <sheet name="Workings" sheetId="6" r:id="rId6"/>
    <sheet name="Income Statement" sheetId="7" r:id="rId7"/>
    <sheet name="Financial Position" sheetId="8" r:id="rId8"/>
    <sheet name="Cashflow" sheetId="9" r:id="rId9"/>
    <sheet name="Valuation" sheetId="10" r:id="rId10"/>
    <sheet name="Financial Ratio" sheetId="11" r:id="rId11"/>
    <sheet name="Data 1" sheetId="1" r:id="rId12"/>
    <sheet name="Pivot" sheetId="14" r:id="rId13"/>
  </sheets>
  <definedNames>
    <definedName name="Slicer_Year">#N/A</definedName>
  </definedNames>
  <calcPr calcId="191029"/>
  <pivotCaches>
    <pivotCache cacheId="5" r:id="rId14"/>
  </pivotCaches>
  <extLs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 i="2" l="1"/>
  <c r="N1" i="1"/>
  <c r="N1" i="11"/>
  <c r="N1" i="10"/>
  <c r="N1" i="9"/>
  <c r="N1" i="8"/>
  <c r="N1" i="7"/>
  <c r="N1" i="6"/>
  <c r="N1" i="5"/>
  <c r="N1" i="4"/>
  <c r="N1" i="3"/>
  <c r="K49" i="10"/>
  <c r="M49" i="10"/>
  <c r="I61" i="10"/>
  <c r="I59" i="10"/>
  <c r="J49" i="10" s="1"/>
  <c r="F136" i="6"/>
  <c r="K153" i="6"/>
  <c r="K151" i="6"/>
  <c r="G148" i="6"/>
  <c r="F139" i="6"/>
  <c r="F143" i="6"/>
  <c r="N128" i="6"/>
  <c r="J128" i="6"/>
  <c r="K127" i="6"/>
  <c r="K128" i="6" s="1"/>
  <c r="L127" i="6"/>
  <c r="L128" i="6" s="1"/>
  <c r="M127" i="6"/>
  <c r="M128" i="6" s="1"/>
  <c r="N127" i="6"/>
  <c r="J127" i="6"/>
  <c r="K42" i="6" a="1"/>
  <c r="K42" i="6" s="1"/>
  <c r="L42" i="6" a="1"/>
  <c r="L42" i="6"/>
  <c r="M42" i="6" a="1"/>
  <c r="M42" i="6" s="1"/>
  <c r="N42" i="6" a="1"/>
  <c r="N42" i="6"/>
  <c r="J42" i="6" a="1"/>
  <c r="J42" i="6" s="1"/>
  <c r="K37" i="6" a="1"/>
  <c r="K37" i="6" s="1"/>
  <c r="L37" i="6" a="1"/>
  <c r="L37" i="6" s="1"/>
  <c r="M37" i="6" a="1"/>
  <c r="M37" i="6" s="1"/>
  <c r="N37" i="6" a="1"/>
  <c r="N37" i="6" s="1"/>
  <c r="J37" i="6" a="1"/>
  <c r="J37" i="6" s="1"/>
  <c r="K22" i="6" a="1"/>
  <c r="K22" i="6"/>
  <c r="L22" i="6" a="1"/>
  <c r="L22" i="6" s="1"/>
  <c r="M22" i="6" a="1"/>
  <c r="M22" i="6"/>
  <c r="N22" i="6" a="1"/>
  <c r="N22" i="6"/>
  <c r="J22" i="6" a="1"/>
  <c r="J22" i="6" s="1"/>
  <c r="K21" i="6" a="1"/>
  <c r="K21" i="6" s="1"/>
  <c r="L21" i="6" a="1"/>
  <c r="L21" i="6" s="1"/>
  <c r="M21" i="6" a="1"/>
  <c r="M21" i="6" s="1"/>
  <c r="N21" i="6" a="1"/>
  <c r="N21" i="6" s="1"/>
  <c r="J21" i="6" a="1"/>
  <c r="J21" i="6" s="1"/>
  <c r="K11" i="6" a="1"/>
  <c r="K11" i="6"/>
  <c r="L11" i="6" a="1"/>
  <c r="L11" i="6"/>
  <c r="M11" i="6" a="1"/>
  <c r="M11" i="6"/>
  <c r="N11" i="6" a="1"/>
  <c r="N11" i="6"/>
  <c r="J11" i="6" a="1"/>
  <c r="J11" i="6" s="1"/>
  <c r="K10" i="6" a="1"/>
  <c r="K10" i="6" s="1"/>
  <c r="L10" i="6" a="1"/>
  <c r="L10" i="6" s="1"/>
  <c r="M10" i="6" a="1"/>
  <c r="M10" i="6" s="1"/>
  <c r="N10" i="6" a="1"/>
  <c r="N10" i="6" s="1"/>
  <c r="J10" i="6" a="1"/>
  <c r="J10" i="6" s="1"/>
  <c r="J9" i="6" a="1"/>
  <c r="J9" i="6" s="1"/>
  <c r="K9" i="6" a="1"/>
  <c r="K9" i="6" s="1"/>
  <c r="L9" i="6" a="1"/>
  <c r="L9" i="6"/>
  <c r="M9" i="6" a="1"/>
  <c r="M9" i="6" s="1"/>
  <c r="N9" i="6" a="1"/>
  <c r="N9" i="6" s="1"/>
  <c r="K8" i="6" a="1"/>
  <c r="K8" i="6" s="1"/>
  <c r="L8" i="6" a="1"/>
  <c r="L8" i="6" s="1"/>
  <c r="M8" i="6" a="1"/>
  <c r="M8" i="6" s="1"/>
  <c r="N8" i="6" a="1"/>
  <c r="N8" i="6"/>
  <c r="J8" i="6" a="1"/>
  <c r="J8" i="6" s="1"/>
  <c r="I31" i="9"/>
  <c r="I38" i="9"/>
  <c r="J33" i="9"/>
  <c r="K33" i="9"/>
  <c r="L33" i="9"/>
  <c r="I33" i="9"/>
  <c r="I18" i="9"/>
  <c r="K97" i="6"/>
  <c r="L97" i="6"/>
  <c r="M97" i="6"/>
  <c r="N97" i="6"/>
  <c r="J96" i="6"/>
  <c r="J46" i="6"/>
  <c r="J85" i="6"/>
  <c r="E129" i="5"/>
  <c r="E123" i="5"/>
  <c r="E120" i="5"/>
  <c r="L61" i="6"/>
  <c r="K56" i="6"/>
  <c r="L56" i="6"/>
  <c r="M56" i="6"/>
  <c r="N56" i="6"/>
  <c r="K57" i="6"/>
  <c r="L57" i="6"/>
  <c r="M57" i="6"/>
  <c r="N57" i="6"/>
  <c r="J57" i="6"/>
  <c r="J56" i="6"/>
  <c r="N55" i="6"/>
  <c r="K55" i="6"/>
  <c r="L55" i="6"/>
  <c r="M55" i="6"/>
  <c r="J55" i="6"/>
  <c r="L64" i="6" s="1"/>
  <c r="K54" i="6"/>
  <c r="L54" i="6"/>
  <c r="M54" i="6"/>
  <c r="N54" i="6"/>
  <c r="J54" i="6"/>
  <c r="K63" i="6" s="1"/>
  <c r="K53" i="6"/>
  <c r="L53" i="6"/>
  <c r="M53" i="6"/>
  <c r="N53" i="6"/>
  <c r="J53" i="6"/>
  <c r="M62" i="6" s="1"/>
  <c r="K52" i="6"/>
  <c r="L52" i="6"/>
  <c r="M52" i="6"/>
  <c r="N52" i="6"/>
  <c r="J52" i="6"/>
  <c r="N61" i="6" s="1"/>
  <c r="G56" i="6"/>
  <c r="J65" i="6" s="1"/>
  <c r="J73" i="6" s="1"/>
  <c r="H55" i="6"/>
  <c r="G55" i="6"/>
  <c r="H54" i="6"/>
  <c r="G54" i="6"/>
  <c r="H53" i="6"/>
  <c r="G53" i="6"/>
  <c r="H52" i="6"/>
  <c r="G52" i="6"/>
  <c r="K45" i="6"/>
  <c r="L45" i="6"/>
  <c r="M45" i="6"/>
  <c r="N45" i="6"/>
  <c r="J45" i="6"/>
  <c r="K44" i="6"/>
  <c r="L44" i="6"/>
  <c r="M44" i="6"/>
  <c r="N44" i="6"/>
  <c r="J44" i="6"/>
  <c r="K43" i="6"/>
  <c r="L43" i="6"/>
  <c r="M43" i="6"/>
  <c r="N43" i="6"/>
  <c r="J43" i="6"/>
  <c r="K41" i="6"/>
  <c r="L41" i="6"/>
  <c r="M41" i="6"/>
  <c r="N41" i="6"/>
  <c r="J41" i="6"/>
  <c r="K40" i="6"/>
  <c r="L40" i="6"/>
  <c r="M40" i="6"/>
  <c r="N40" i="6"/>
  <c r="K38" i="6"/>
  <c r="L38" i="6"/>
  <c r="M38" i="6"/>
  <c r="N38" i="6"/>
  <c r="J38" i="6"/>
  <c r="K35" i="6"/>
  <c r="L35" i="6"/>
  <c r="M35" i="6"/>
  <c r="N35" i="6"/>
  <c r="J35" i="6"/>
  <c r="K34" i="6"/>
  <c r="L34" i="6"/>
  <c r="M34" i="6"/>
  <c r="N34" i="6"/>
  <c r="J34" i="6"/>
  <c r="K33" i="6"/>
  <c r="L33" i="6"/>
  <c r="M33" i="6"/>
  <c r="N33" i="6"/>
  <c r="J33" i="6"/>
  <c r="K32" i="6"/>
  <c r="L32" i="6"/>
  <c r="M32" i="6"/>
  <c r="N32" i="6"/>
  <c r="J32" i="6"/>
  <c r="K31" i="6"/>
  <c r="L31" i="6"/>
  <c r="M31" i="6"/>
  <c r="N31" i="6"/>
  <c r="J31" i="6"/>
  <c r="H113" i="5"/>
  <c r="H107" i="5"/>
  <c r="H101" i="5"/>
  <c r="H95" i="5"/>
  <c r="H89" i="5"/>
  <c r="I49" i="10" l="1"/>
  <c r="L49" i="10"/>
  <c r="K61" i="6"/>
  <c r="M58" i="6"/>
  <c r="L65" i="6"/>
  <c r="L58" i="6"/>
  <c r="K64" i="6"/>
  <c r="N58" i="6"/>
  <c r="K65" i="6"/>
  <c r="K73" i="6" s="1"/>
  <c r="L73" i="6" s="1"/>
  <c r="M73" i="6" s="1"/>
  <c r="M65" i="6"/>
  <c r="K62" i="6"/>
  <c r="N64" i="6"/>
  <c r="K58" i="6"/>
  <c r="M61" i="6"/>
  <c r="N62" i="6"/>
  <c r="J63" i="6"/>
  <c r="J71" i="6" s="1"/>
  <c r="K71" i="6" s="1"/>
  <c r="J58" i="6"/>
  <c r="N63" i="6"/>
  <c r="N66" i="6" s="1"/>
  <c r="M16" i="7" s="1"/>
  <c r="M63" i="6"/>
  <c r="L63" i="6"/>
  <c r="J64" i="6"/>
  <c r="J72" i="6" s="1"/>
  <c r="K72" i="6" s="1"/>
  <c r="L72" i="6" s="1"/>
  <c r="J61" i="6"/>
  <c r="M64" i="6"/>
  <c r="L62" i="6"/>
  <c r="L66" i="6" s="1"/>
  <c r="K16" i="7" s="1"/>
  <c r="J62" i="6"/>
  <c r="J70" i="6" s="1"/>
  <c r="K70" i="6" s="1"/>
  <c r="L70" i="6" s="1"/>
  <c r="M70" i="6" s="1"/>
  <c r="N70" i="6" s="1"/>
  <c r="N65" i="6"/>
  <c r="M12" i="6"/>
  <c r="M14" i="6" s="1"/>
  <c r="J12" i="6"/>
  <c r="N12" i="6"/>
  <c r="M7" i="7" s="1"/>
  <c r="L12" i="6"/>
  <c r="K12" i="6"/>
  <c r="N36" i="6"/>
  <c r="H23" i="1" s="1"/>
  <c r="M36" i="6"/>
  <c r="H20" i="1" s="1"/>
  <c r="L36" i="6"/>
  <c r="H17" i="1" s="1"/>
  <c r="K36" i="6"/>
  <c r="H14" i="1" s="1"/>
  <c r="J36" i="6"/>
  <c r="H11" i="1" s="1"/>
  <c r="M9" i="9" l="1"/>
  <c r="H24" i="1"/>
  <c r="M12" i="10"/>
  <c r="M36" i="10" s="1"/>
  <c r="H18" i="1"/>
  <c r="K12" i="10"/>
  <c r="K36" i="10" s="1"/>
  <c r="K9" i="9"/>
  <c r="J69" i="6"/>
  <c r="J66" i="6"/>
  <c r="I16" i="7" s="1"/>
  <c r="K23" i="9"/>
  <c r="K25" i="9" s="1"/>
  <c r="F35" i="2" s="1"/>
  <c r="K18" i="10"/>
  <c r="K41" i="10" s="1"/>
  <c r="L23" i="9"/>
  <c r="L25" i="9" s="1"/>
  <c r="G35" i="2" s="1"/>
  <c r="L18" i="10"/>
  <c r="L41" i="10" s="1"/>
  <c r="K66" i="6"/>
  <c r="J16" i="7" s="1"/>
  <c r="M23" i="9"/>
  <c r="M25" i="9" s="1"/>
  <c r="H35" i="2" s="1"/>
  <c r="M18" i="10"/>
  <c r="M41" i="10" s="1"/>
  <c r="J83" i="6"/>
  <c r="I23" i="9"/>
  <c r="I25" i="9" s="1"/>
  <c r="D35" i="2" s="1"/>
  <c r="I18" i="10"/>
  <c r="I41" i="10" s="1"/>
  <c r="J77" i="6"/>
  <c r="N73" i="6"/>
  <c r="M66" i="6"/>
  <c r="L16" i="7" s="1"/>
  <c r="D10" i="1"/>
  <c r="H14" i="2"/>
  <c r="J23" i="9"/>
  <c r="J25" i="9" s="1"/>
  <c r="E35" i="2" s="1"/>
  <c r="J18" i="10"/>
  <c r="J41" i="10" s="1"/>
  <c r="M15" i="6"/>
  <c r="M106" i="6"/>
  <c r="L16" i="8" s="1"/>
  <c r="L39" i="6"/>
  <c r="K7" i="7"/>
  <c r="L14" i="6"/>
  <c r="M39" i="6"/>
  <c r="L7" i="7"/>
  <c r="M23" i="6"/>
  <c r="N14" i="6"/>
  <c r="K39" i="6"/>
  <c r="J7" i="7"/>
  <c r="K14" i="6"/>
  <c r="K23" i="6"/>
  <c r="K19" i="6"/>
  <c r="J39" i="6"/>
  <c r="I7" i="7"/>
  <c r="M19" i="6"/>
  <c r="M26" i="6" s="1"/>
  <c r="J23" i="6"/>
  <c r="J19" i="6"/>
  <c r="J26" i="6" s="1"/>
  <c r="J74" i="6"/>
  <c r="J78" i="6" s="1"/>
  <c r="I11" i="8" s="1"/>
  <c r="K69" i="6"/>
  <c r="J14" i="6"/>
  <c r="M72" i="6"/>
  <c r="N72" i="6" s="1"/>
  <c r="L71" i="6"/>
  <c r="M71" i="6" s="1"/>
  <c r="N71" i="6" s="1"/>
  <c r="L23" i="6"/>
  <c r="L19" i="6"/>
  <c r="L26" i="6" s="1"/>
  <c r="N23" i="6"/>
  <c r="N39" i="6"/>
  <c r="N19" i="6"/>
  <c r="N26" i="6" s="1"/>
  <c r="H15" i="1" l="1"/>
  <c r="J12" i="10"/>
  <c r="J36" i="10" s="1"/>
  <c r="J9" i="9"/>
  <c r="M47" i="6"/>
  <c r="L12" i="7" s="1"/>
  <c r="G17" i="2" s="1"/>
  <c r="H22" i="1"/>
  <c r="L47" i="6"/>
  <c r="K12" i="7" s="1"/>
  <c r="F17" i="2" s="1"/>
  <c r="H19" i="1"/>
  <c r="J110" i="6"/>
  <c r="I35" i="8" s="1"/>
  <c r="I16" i="9" s="1"/>
  <c r="I33" i="11"/>
  <c r="I34" i="11" s="1"/>
  <c r="D14" i="2"/>
  <c r="D6" i="1"/>
  <c r="N110" i="6"/>
  <c r="M35" i="8" s="1"/>
  <c r="M16" i="9" s="1"/>
  <c r="M33" i="11"/>
  <c r="M34" i="11" s="1"/>
  <c r="J47" i="6"/>
  <c r="H13" i="1"/>
  <c r="F14" i="2"/>
  <c r="D8" i="1"/>
  <c r="I9" i="9"/>
  <c r="H12" i="1"/>
  <c r="I12" i="10"/>
  <c r="I36" i="10" s="1"/>
  <c r="K47" i="6"/>
  <c r="J12" i="7" s="1"/>
  <c r="E17" i="2" s="1"/>
  <c r="H16" i="1"/>
  <c r="N106" i="6"/>
  <c r="M16" i="8" s="1"/>
  <c r="M27" i="11" s="1"/>
  <c r="M28" i="11" s="1"/>
  <c r="M110" i="6"/>
  <c r="L35" i="8" s="1"/>
  <c r="H21" i="1"/>
  <c r="L12" i="10"/>
  <c r="L36" i="10" s="1"/>
  <c r="L9" i="9"/>
  <c r="D7" i="1"/>
  <c r="E14" i="2"/>
  <c r="N47" i="6"/>
  <c r="M12" i="7" s="1"/>
  <c r="H17" i="2" s="1"/>
  <c r="H25" i="1"/>
  <c r="L110" i="6"/>
  <c r="K35" i="8" s="1"/>
  <c r="L16" i="9" s="1"/>
  <c r="I10" i="8"/>
  <c r="I12" i="8" s="1"/>
  <c r="D23" i="2" s="1"/>
  <c r="K77" i="6"/>
  <c r="J79" i="6"/>
  <c r="G14" i="2"/>
  <c r="D9" i="1"/>
  <c r="N15" i="6"/>
  <c r="M24" i="6"/>
  <c r="L15" i="6"/>
  <c r="L106" i="6"/>
  <c r="K16" i="8" s="1"/>
  <c r="L15" i="9" s="1"/>
  <c r="K26" i="6"/>
  <c r="K24" i="6"/>
  <c r="K15" i="6"/>
  <c r="K106" i="6"/>
  <c r="J16" i="8" s="1"/>
  <c r="K15" i="9" s="1"/>
  <c r="J15" i="6"/>
  <c r="J106" i="6"/>
  <c r="I16" i="8" s="1"/>
  <c r="I27" i="11" s="1"/>
  <c r="I28" i="11" s="1"/>
  <c r="J24" i="6"/>
  <c r="J87" i="6"/>
  <c r="I12" i="7"/>
  <c r="D17" i="2" s="1"/>
  <c r="K74" i="6"/>
  <c r="K78" i="6" s="1"/>
  <c r="J11" i="8" s="1"/>
  <c r="L69" i="6"/>
  <c r="L24" i="6"/>
  <c r="N24" i="6"/>
  <c r="M15" i="9" l="1"/>
  <c r="L33" i="11"/>
  <c r="L34" i="11" s="1"/>
  <c r="L77" i="6"/>
  <c r="K79" i="6"/>
  <c r="J10" i="8"/>
  <c r="J12" i="8" s="1"/>
  <c r="E23" i="2" s="1"/>
  <c r="J27" i="11"/>
  <c r="J28" i="11" s="1"/>
  <c r="K110" i="6"/>
  <c r="J35" i="8" s="1"/>
  <c r="J33" i="11"/>
  <c r="J34" i="11" s="1"/>
  <c r="K27" i="11"/>
  <c r="K28" i="11" s="1"/>
  <c r="L27" i="11"/>
  <c r="L28" i="11" s="1"/>
  <c r="K16" i="9"/>
  <c r="M27" i="6"/>
  <c r="L15" i="8" s="1"/>
  <c r="L8" i="7"/>
  <c r="N27" i="6"/>
  <c r="M15" i="8" s="1"/>
  <c r="M8" i="7"/>
  <c r="L27" i="6"/>
  <c r="K15" i="8" s="1"/>
  <c r="K8" i="7"/>
  <c r="J15" i="9"/>
  <c r="I15" i="9"/>
  <c r="K27" i="6"/>
  <c r="J15" i="8" s="1"/>
  <c r="J8" i="7"/>
  <c r="J27" i="6"/>
  <c r="I15" i="8" s="1"/>
  <c r="J86" i="6"/>
  <c r="J88" i="6" s="1"/>
  <c r="I8" i="7"/>
  <c r="L74" i="6"/>
  <c r="L78" i="6" s="1"/>
  <c r="K11" i="8" s="1"/>
  <c r="M69" i="6"/>
  <c r="K14" i="9" l="1"/>
  <c r="L10" i="7"/>
  <c r="E9" i="1"/>
  <c r="G15" i="2"/>
  <c r="L30" i="11"/>
  <c r="L31" i="11" s="1"/>
  <c r="L36" i="11"/>
  <c r="I10" i="7"/>
  <c r="I30" i="11"/>
  <c r="I31" i="11" s="1"/>
  <c r="I36" i="11" s="1"/>
  <c r="D15" i="2"/>
  <c r="E6" i="1"/>
  <c r="M10" i="7"/>
  <c r="H15" i="2"/>
  <c r="E10" i="1"/>
  <c r="M30" i="11"/>
  <c r="M31" i="11" s="1"/>
  <c r="M36" i="11" s="1"/>
  <c r="K36" i="11"/>
  <c r="J16" i="9"/>
  <c r="K33" i="11"/>
  <c r="K34" i="11" s="1"/>
  <c r="J10" i="7"/>
  <c r="E7" i="1"/>
  <c r="J30" i="11"/>
  <c r="J31" i="11" s="1"/>
  <c r="J36" i="11" s="1"/>
  <c r="E15" i="2"/>
  <c r="M77" i="6"/>
  <c r="L79" i="6"/>
  <c r="K10" i="8"/>
  <c r="K12" i="8" s="1"/>
  <c r="F23" i="2" s="1"/>
  <c r="K10" i="7"/>
  <c r="E8" i="1"/>
  <c r="K30" i="11"/>
  <c r="K31" i="11" s="1"/>
  <c r="F15" i="2"/>
  <c r="K16" i="10"/>
  <c r="K39" i="10" s="1"/>
  <c r="M14" i="9"/>
  <c r="M16" i="10" s="1"/>
  <c r="M39" i="10" s="1"/>
  <c r="L14" i="9"/>
  <c r="L16" i="10" s="1"/>
  <c r="L39" i="10" s="1"/>
  <c r="J14" i="9"/>
  <c r="J16" i="10" s="1"/>
  <c r="J39" i="10" s="1"/>
  <c r="I14" i="9"/>
  <c r="I16" i="10" s="1"/>
  <c r="I39" i="10" s="1"/>
  <c r="J91" i="6"/>
  <c r="F140" i="6" s="1"/>
  <c r="J90" i="6"/>
  <c r="M74" i="6"/>
  <c r="M78" i="6" s="1"/>
  <c r="L11" i="8" s="1"/>
  <c r="N69" i="6"/>
  <c r="N74" i="6" s="1"/>
  <c r="N78" i="6" s="1"/>
  <c r="M11" i="8" s="1"/>
  <c r="M14" i="7" l="1"/>
  <c r="M8" i="11"/>
  <c r="H16" i="2"/>
  <c r="F10" i="1"/>
  <c r="K14" i="7"/>
  <c r="F8" i="1"/>
  <c r="K8" i="11"/>
  <c r="F16" i="2"/>
  <c r="N77" i="6"/>
  <c r="M79" i="6"/>
  <c r="L10" i="8"/>
  <c r="L12" i="8" s="1"/>
  <c r="G23" i="2" s="1"/>
  <c r="F137" i="6"/>
  <c r="D8" i="2"/>
  <c r="J14" i="7"/>
  <c r="F7" i="1"/>
  <c r="E16" i="2"/>
  <c r="J8" i="11"/>
  <c r="I14" i="7"/>
  <c r="I8" i="11"/>
  <c r="F6" i="1"/>
  <c r="D16" i="2"/>
  <c r="L14" i="7"/>
  <c r="L8" i="11"/>
  <c r="F9" i="1"/>
  <c r="G16" i="2"/>
  <c r="F142" i="6"/>
  <c r="G140" i="6" s="1"/>
  <c r="G137" i="6"/>
  <c r="G142" i="6" s="1"/>
  <c r="M23" i="8"/>
  <c r="K23" i="8"/>
  <c r="L23" i="8"/>
  <c r="I23" i="8"/>
  <c r="J23" i="8"/>
  <c r="I29" i="9"/>
  <c r="J97" i="6"/>
  <c r="I30" i="9"/>
  <c r="J92" i="6"/>
  <c r="J98" i="6"/>
  <c r="J99" i="6" s="1"/>
  <c r="I32" i="9" s="1"/>
  <c r="M10" i="8" l="1"/>
  <c r="M12" i="8" s="1"/>
  <c r="H23" i="2" s="1"/>
  <c r="N79" i="6"/>
  <c r="K18" i="7"/>
  <c r="F18" i="2"/>
  <c r="I8" i="1"/>
  <c r="K9" i="11"/>
  <c r="F42" i="2" s="1"/>
  <c r="K6" i="1"/>
  <c r="D41" i="2"/>
  <c r="I18" i="7"/>
  <c r="I24" i="11" s="1"/>
  <c r="D52" i="2" s="1"/>
  <c r="I9" i="11"/>
  <c r="D42" i="2" s="1"/>
  <c r="D18" i="2"/>
  <c r="I6" i="1"/>
  <c r="H41" i="2"/>
  <c r="K10" i="1"/>
  <c r="J18" i="7"/>
  <c r="E18" i="2"/>
  <c r="I7" i="1"/>
  <c r="J9" i="11"/>
  <c r="E42" i="2" s="1"/>
  <c r="K9" i="1"/>
  <c r="G41" i="2"/>
  <c r="K8" i="1"/>
  <c r="F41" i="2"/>
  <c r="L18" i="7"/>
  <c r="G18" i="2"/>
  <c r="L9" i="11"/>
  <c r="G42" i="2" s="1"/>
  <c r="I9" i="1"/>
  <c r="E41" i="2"/>
  <c r="K7" i="1"/>
  <c r="M18" i="7"/>
  <c r="M9" i="11"/>
  <c r="H42" i="2" s="1"/>
  <c r="H18" i="2"/>
  <c r="I10" i="1"/>
  <c r="F134" i="6"/>
  <c r="I57" i="10" s="1"/>
  <c r="I35" i="9"/>
  <c r="D36" i="2" s="1"/>
  <c r="J101" i="6"/>
  <c r="I20" i="7"/>
  <c r="J126" i="6" s="1"/>
  <c r="J129" i="6" s="1"/>
  <c r="I14" i="10" s="1"/>
  <c r="J24" i="10" l="1"/>
  <c r="I24" i="10"/>
  <c r="M24" i="10"/>
  <c r="L24" i="10"/>
  <c r="K24" i="10"/>
  <c r="I10" i="9"/>
  <c r="I22" i="7"/>
  <c r="D19" i="2" s="1"/>
  <c r="J102" i="6"/>
  <c r="I34" i="8" s="1"/>
  <c r="I29" i="8"/>
  <c r="K96" i="6"/>
  <c r="K98" i="6" s="1"/>
  <c r="K99" i="6" s="1"/>
  <c r="J32" i="9" s="1"/>
  <c r="I31" i="8" l="1"/>
  <c r="D29" i="2" s="1"/>
  <c r="I43" i="10"/>
  <c r="J114" i="6"/>
  <c r="J116" i="6" s="1"/>
  <c r="J20" i="7"/>
  <c r="K101" i="6"/>
  <c r="J29" i="8" s="1"/>
  <c r="K126" i="6" l="1"/>
  <c r="K129" i="6" s="1"/>
  <c r="J14" i="10" s="1"/>
  <c r="J24" i="11"/>
  <c r="E52" i="2" s="1"/>
  <c r="J31" i="8"/>
  <c r="E29" i="2" s="1"/>
  <c r="J43" i="10"/>
  <c r="J10" i="9"/>
  <c r="J22" i="7"/>
  <c r="E19" i="2" s="1"/>
  <c r="I24" i="7"/>
  <c r="I36" i="8"/>
  <c r="K102" i="6"/>
  <c r="J34" i="8" s="1"/>
  <c r="L96" i="6"/>
  <c r="I11" i="9" l="1"/>
  <c r="J18" i="9" s="1"/>
  <c r="I26" i="7"/>
  <c r="K114" i="6"/>
  <c r="K116" i="6" s="1"/>
  <c r="L98" i="6"/>
  <c r="L99" i="6" s="1"/>
  <c r="I9" i="10" l="1"/>
  <c r="J6" i="1"/>
  <c r="D20" i="2"/>
  <c r="I10" i="11"/>
  <c r="I33" i="10"/>
  <c r="I45" i="10" s="1"/>
  <c r="I47" i="10" s="1"/>
  <c r="I51" i="10" s="1"/>
  <c r="I20" i="10"/>
  <c r="J120" i="6"/>
  <c r="J122" i="6" s="1"/>
  <c r="I7" i="9"/>
  <c r="I12" i="9" s="1"/>
  <c r="I17" i="9" s="1"/>
  <c r="I20" i="9" s="1"/>
  <c r="K20" i="7"/>
  <c r="K32" i="9"/>
  <c r="J36" i="8"/>
  <c r="J24" i="7"/>
  <c r="L101" i="6"/>
  <c r="K29" i="8" s="1"/>
  <c r="I37" i="9" l="1"/>
  <c r="I39" i="9" s="1"/>
  <c r="D37" i="2" s="1"/>
  <c r="D34" i="2"/>
  <c r="D43" i="2"/>
  <c r="L6" i="1"/>
  <c r="L126" i="6"/>
  <c r="L129" i="6" s="1"/>
  <c r="K14" i="10" s="1"/>
  <c r="K24" i="11"/>
  <c r="F52" i="2" s="1"/>
  <c r="I22" i="10"/>
  <c r="I26" i="10" s="1"/>
  <c r="D38" i="2"/>
  <c r="K31" i="8"/>
  <c r="F29" i="2" s="1"/>
  <c r="K43" i="10"/>
  <c r="K10" i="9"/>
  <c r="K22" i="7"/>
  <c r="F19" i="2" s="1"/>
  <c r="J11" i="9"/>
  <c r="K18" i="9" s="1"/>
  <c r="J26" i="7"/>
  <c r="I37" i="8"/>
  <c r="I38" i="8" s="1"/>
  <c r="I28" i="7"/>
  <c r="M96" i="6"/>
  <c r="L102" i="6"/>
  <c r="K34" i="8" s="1"/>
  <c r="I40" i="8" l="1"/>
  <c r="D30" i="2"/>
  <c r="J9" i="10"/>
  <c r="J7" i="1"/>
  <c r="J10" i="11"/>
  <c r="E20" i="2"/>
  <c r="J38" i="9"/>
  <c r="I17" i="8"/>
  <c r="J33" i="10"/>
  <c r="J45" i="10" s="1"/>
  <c r="J47" i="10" s="1"/>
  <c r="J51" i="10" s="1"/>
  <c r="J20" i="10"/>
  <c r="J31" i="9"/>
  <c r="J35" i="9" s="1"/>
  <c r="E36" i="2" s="1"/>
  <c r="I30" i="7"/>
  <c r="I31" i="7" s="1"/>
  <c r="L114" i="6"/>
  <c r="L116" i="6" s="1"/>
  <c r="K120" i="6"/>
  <c r="K122" i="6" s="1"/>
  <c r="J7" i="9"/>
  <c r="J12" i="9" s="1"/>
  <c r="J17" i="9" s="1"/>
  <c r="J20" i="9" s="1"/>
  <c r="E34" i="2" s="1"/>
  <c r="M98" i="6"/>
  <c r="M99" i="6" s="1"/>
  <c r="J22" i="10" l="1"/>
  <c r="J26" i="10" s="1"/>
  <c r="E38" i="2"/>
  <c r="I18" i="8"/>
  <c r="I18" i="11"/>
  <c r="D51" i="2" s="1"/>
  <c r="L7" i="1"/>
  <c r="E43" i="2"/>
  <c r="M101" i="6"/>
  <c r="L29" i="8" s="1"/>
  <c r="I24" i="8"/>
  <c r="I25" i="8" s="1"/>
  <c r="L20" i="7"/>
  <c r="L32" i="9"/>
  <c r="J37" i="8"/>
  <c r="J38" i="8" s="1"/>
  <c r="J28" i="7"/>
  <c r="K36" i="8"/>
  <c r="K24" i="7"/>
  <c r="J37" i="9"/>
  <c r="J39" i="9" s="1"/>
  <c r="E37" i="2" s="1"/>
  <c r="M102" i="6"/>
  <c r="L34" i="8" s="1"/>
  <c r="I42" i="8" l="1"/>
  <c r="D31" i="2" s="1"/>
  <c r="D28" i="2"/>
  <c r="I21" i="11"/>
  <c r="D46" i="2" s="1"/>
  <c r="I12" i="11"/>
  <c r="I20" i="8"/>
  <c r="I17" i="11"/>
  <c r="D50" i="2" s="1"/>
  <c r="I16" i="11"/>
  <c r="D49" i="2" s="1"/>
  <c r="D24" i="2"/>
  <c r="J40" i="8"/>
  <c r="E30" i="2"/>
  <c r="M126" i="6"/>
  <c r="M129" i="6" s="1"/>
  <c r="L14" i="10" s="1"/>
  <c r="L24" i="11"/>
  <c r="G52" i="2" s="1"/>
  <c r="N96" i="6"/>
  <c r="L31" i="8"/>
  <c r="G29" i="2" s="1"/>
  <c r="L43" i="10"/>
  <c r="J17" i="8"/>
  <c r="K38" i="9"/>
  <c r="K11" i="9"/>
  <c r="L18" i="9" s="1"/>
  <c r="K26" i="7"/>
  <c r="K31" i="9"/>
  <c r="K35" i="9" s="1"/>
  <c r="F36" i="2" s="1"/>
  <c r="J30" i="7"/>
  <c r="J31" i="7" s="1"/>
  <c r="L22" i="7"/>
  <c r="G19" i="2" s="1"/>
  <c r="L10" i="9"/>
  <c r="I44" i="8"/>
  <c r="I45" i="8"/>
  <c r="N98" i="6"/>
  <c r="N99" i="6" s="1"/>
  <c r="K9" i="10" l="1"/>
  <c r="F20" i="2"/>
  <c r="J8" i="1"/>
  <c r="K10" i="11"/>
  <c r="D26" i="2"/>
  <c r="D25" i="2"/>
  <c r="I23" i="11"/>
  <c r="D48" i="2" s="1"/>
  <c r="I13" i="11"/>
  <c r="D45" i="2" s="1"/>
  <c r="M6" i="1"/>
  <c r="D44" i="2"/>
  <c r="I22" i="11"/>
  <c r="D47" i="2" s="1"/>
  <c r="J18" i="8"/>
  <c r="J18" i="11"/>
  <c r="E51" i="2" s="1"/>
  <c r="K33" i="10"/>
  <c r="K45" i="10" s="1"/>
  <c r="K47" i="10" s="1"/>
  <c r="K51" i="10" s="1"/>
  <c r="K20" i="10"/>
  <c r="N100" i="6"/>
  <c r="M20" i="7" s="1"/>
  <c r="M32" i="9"/>
  <c r="L120" i="6"/>
  <c r="L122" i="6" s="1"/>
  <c r="K7" i="9"/>
  <c r="K12" i="9" s="1"/>
  <c r="K17" i="9" s="1"/>
  <c r="K20" i="9" s="1"/>
  <c r="M114" i="6"/>
  <c r="M116" i="6" s="1"/>
  <c r="J24" i="8"/>
  <c r="J25" i="8" s="1"/>
  <c r="J20" i="8" l="1"/>
  <c r="J17" i="11"/>
  <c r="E50" i="2" s="1"/>
  <c r="J16" i="11"/>
  <c r="E49" i="2" s="1"/>
  <c r="E24" i="2"/>
  <c r="J42" i="8"/>
  <c r="E28" i="2"/>
  <c r="J22" i="11"/>
  <c r="E47" i="2" s="1"/>
  <c r="J21" i="11"/>
  <c r="E46" i="2" s="1"/>
  <c r="J12" i="11"/>
  <c r="L8" i="1"/>
  <c r="F43" i="2"/>
  <c r="K37" i="9"/>
  <c r="K39" i="9" s="1"/>
  <c r="F37" i="2" s="1"/>
  <c r="F34" i="2"/>
  <c r="N126" i="6"/>
  <c r="N129" i="6" s="1"/>
  <c r="M14" i="10" s="1"/>
  <c r="M24" i="11"/>
  <c r="H52" i="2" s="1"/>
  <c r="K22" i="10"/>
  <c r="K26" i="10" s="1"/>
  <c r="F38" i="2"/>
  <c r="M22" i="7"/>
  <c r="H19" i="2" s="1"/>
  <c r="M10" i="9"/>
  <c r="L24" i="7"/>
  <c r="L36" i="8"/>
  <c r="K37" i="8"/>
  <c r="K38" i="8" s="1"/>
  <c r="K28" i="7"/>
  <c r="N101" i="6"/>
  <c r="M33" i="9"/>
  <c r="M7" i="1" l="1"/>
  <c r="E44" i="2"/>
  <c r="K17" i="8"/>
  <c r="K40" i="8"/>
  <c r="F30" i="2"/>
  <c r="J45" i="8"/>
  <c r="E31" i="2"/>
  <c r="L38" i="9"/>
  <c r="J44" i="8"/>
  <c r="E26" i="2"/>
  <c r="E25" i="2"/>
  <c r="J23" i="11"/>
  <c r="E48" i="2" s="1"/>
  <c r="J13" i="11"/>
  <c r="E45" i="2" s="1"/>
  <c r="N102" i="6"/>
  <c r="M34" i="8" s="1"/>
  <c r="M29" i="8"/>
  <c r="L31" i="9"/>
  <c r="L35" i="9" s="1"/>
  <c r="G36" i="2" s="1"/>
  <c r="K30" i="7"/>
  <c r="K31" i="7" s="1"/>
  <c r="L11" i="9"/>
  <c r="M18" i="9" s="1"/>
  <c r="L26" i="7"/>
  <c r="N114" i="6"/>
  <c r="N116" i="6" s="1"/>
  <c r="L9" i="10" l="1"/>
  <c r="J9" i="1"/>
  <c r="G20" i="2"/>
  <c r="L10" i="11"/>
  <c r="K18" i="8"/>
  <c r="K18" i="11"/>
  <c r="F51" i="2" s="1"/>
  <c r="L33" i="10"/>
  <c r="L45" i="10" s="1"/>
  <c r="L47" i="10" s="1"/>
  <c r="L51" i="10" s="1"/>
  <c r="L20" i="10"/>
  <c r="M31" i="8"/>
  <c r="H29" i="2" s="1"/>
  <c r="M43" i="10"/>
  <c r="M36" i="8"/>
  <c r="M24" i="7"/>
  <c r="M120" i="6"/>
  <c r="M122" i="6" s="1"/>
  <c r="L7" i="9"/>
  <c r="L12" i="9" s="1"/>
  <c r="L17" i="9" s="1"/>
  <c r="L20" i="9" s="1"/>
  <c r="K24" i="8"/>
  <c r="K25" i="8" s="1"/>
  <c r="L22" i="10" l="1"/>
  <c r="L26" i="10" s="1"/>
  <c r="G38" i="2"/>
  <c r="K20" i="8"/>
  <c r="K17" i="11"/>
  <c r="F50" i="2" s="1"/>
  <c r="K16" i="11"/>
  <c r="F49" i="2" s="1"/>
  <c r="F24" i="2"/>
  <c r="K42" i="8"/>
  <c r="F31" i="2" s="1"/>
  <c r="K22" i="11"/>
  <c r="F47" i="2" s="1"/>
  <c r="F28" i="2"/>
  <c r="K21" i="11"/>
  <c r="F46" i="2" s="1"/>
  <c r="K12" i="11"/>
  <c r="L9" i="1"/>
  <c r="G43" i="2"/>
  <c r="L37" i="9"/>
  <c r="L39" i="9" s="1"/>
  <c r="G37" i="2" s="1"/>
  <c r="G34" i="2"/>
  <c r="L28" i="7"/>
  <c r="L37" i="8"/>
  <c r="L38" i="8" s="1"/>
  <c r="M11" i="9"/>
  <c r="M26" i="7"/>
  <c r="K44" i="8" l="1"/>
  <c r="M38" i="9"/>
  <c r="M8" i="1"/>
  <c r="F44" i="2"/>
  <c r="M9" i="10"/>
  <c r="M33" i="10" s="1"/>
  <c r="M45" i="10" s="1"/>
  <c r="H20" i="2"/>
  <c r="J10" i="1"/>
  <c r="M10" i="11"/>
  <c r="K45" i="8"/>
  <c r="L40" i="8"/>
  <c r="G30" i="2"/>
  <c r="F26" i="2"/>
  <c r="F25" i="2"/>
  <c r="K23" i="11"/>
  <c r="F48" i="2" s="1"/>
  <c r="K13" i="11"/>
  <c r="F45" i="2" s="1"/>
  <c r="L17" i="8"/>
  <c r="N120" i="6"/>
  <c r="N122" i="6" s="1"/>
  <c r="M7" i="9"/>
  <c r="M12" i="9" s="1"/>
  <c r="M17" i="9" s="1"/>
  <c r="M20" i="9" s="1"/>
  <c r="H34" i="2" s="1"/>
  <c r="M31" i="9"/>
  <c r="M35" i="9" s="1"/>
  <c r="H36" i="2" s="1"/>
  <c r="L30" i="7"/>
  <c r="L31" i="7" s="1"/>
  <c r="H43" i="2" l="1"/>
  <c r="L10" i="1"/>
  <c r="M20" i="10"/>
  <c r="L18" i="8"/>
  <c r="L18" i="11"/>
  <c r="G51" i="2" s="1"/>
  <c r="M46" i="10"/>
  <c r="M47" i="10" s="1"/>
  <c r="M51" i="10" s="1"/>
  <c r="I53" i="10" s="1"/>
  <c r="D10" i="2" s="1"/>
  <c r="M37" i="9"/>
  <c r="M39" i="9" s="1"/>
  <c r="L24" i="8"/>
  <c r="L25" i="8" s="1"/>
  <c r="M28" i="7"/>
  <c r="M30" i="7" s="1"/>
  <c r="M31" i="7" s="1"/>
  <c r="M24" i="8" s="1"/>
  <c r="M25" i="8" s="1"/>
  <c r="M37" i="8"/>
  <c r="M38" i="8" s="1"/>
  <c r="M40" i="8" l="1"/>
  <c r="H30" i="2"/>
  <c r="H28" i="2"/>
  <c r="M21" i="11"/>
  <c r="H46" i="2" s="1"/>
  <c r="M12" i="11"/>
  <c r="L42" i="8"/>
  <c r="G31" i="2" s="1"/>
  <c r="G28" i="2"/>
  <c r="L21" i="11"/>
  <c r="G46" i="2" s="1"/>
  <c r="L12" i="11"/>
  <c r="M17" i="8"/>
  <c r="H37" i="2"/>
  <c r="L20" i="8"/>
  <c r="L17" i="11"/>
  <c r="G50" i="2" s="1"/>
  <c r="L16" i="11"/>
  <c r="G49" i="2" s="1"/>
  <c r="G24" i="2"/>
  <c r="M21" i="10"/>
  <c r="M22" i="10" s="1"/>
  <c r="M26" i="10" s="1"/>
  <c r="I28" i="10" s="1"/>
  <c r="D9" i="2" s="1"/>
  <c r="H38" i="2"/>
  <c r="M42" i="8"/>
  <c r="M9" i="1" l="1"/>
  <c r="G44" i="2"/>
  <c r="G26" i="2"/>
  <c r="G25" i="2"/>
  <c r="L23" i="11"/>
  <c r="G48" i="2" s="1"/>
  <c r="L13" i="11"/>
  <c r="G45" i="2" s="1"/>
  <c r="M18" i="8"/>
  <c r="M18" i="11"/>
  <c r="H51" i="2" s="1"/>
  <c r="L22" i="11"/>
  <c r="G47" i="2" s="1"/>
  <c r="L45" i="8"/>
  <c r="M10" i="1"/>
  <c r="H44" i="2"/>
  <c r="L44" i="8"/>
  <c r="H31" i="2"/>
  <c r="M20" i="8" l="1"/>
  <c r="M17" i="11"/>
  <c r="H50" i="2" s="1"/>
  <c r="M16" i="11"/>
  <c r="H49" i="2" s="1"/>
  <c r="H24" i="2"/>
  <c r="H26" i="2" l="1"/>
  <c r="H25" i="2"/>
  <c r="M23" i="11"/>
  <c r="H48" i="2" s="1"/>
  <c r="M13" i="11"/>
  <c r="H45" i="2" s="1"/>
  <c r="M22" i="11"/>
  <c r="H47" i="2" s="1"/>
  <c r="M45" i="8"/>
  <c r="M44" i="8"/>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<sst xmlns="http://schemas.openxmlformats.org/spreadsheetml/2006/main" count="548" uniqueCount="308">
  <si>
    <t xml:space="preserve">Company Name: </t>
  </si>
  <si>
    <t>Sector:</t>
  </si>
  <si>
    <t>FMCG</t>
  </si>
  <si>
    <t>Equity Invesment</t>
  </si>
  <si>
    <t>Enterprise value</t>
  </si>
  <si>
    <t>Equity valuation</t>
  </si>
  <si>
    <t>Sweet Bread Bakery Ltd</t>
  </si>
  <si>
    <t>Income Statement</t>
  </si>
  <si>
    <t>Revenue</t>
  </si>
  <si>
    <t>Cost of Sales</t>
  </si>
  <si>
    <t>Gross Profit</t>
  </si>
  <si>
    <t>Operating Expense</t>
  </si>
  <si>
    <t>Operating Income</t>
  </si>
  <si>
    <t>Profit before tax</t>
  </si>
  <si>
    <t>Net Profit</t>
  </si>
  <si>
    <t>Balance Sheet</t>
  </si>
  <si>
    <t>Non current Asset</t>
  </si>
  <si>
    <t>Current Asset</t>
  </si>
  <si>
    <t>Total Asset</t>
  </si>
  <si>
    <t>Total Net Asset</t>
  </si>
  <si>
    <t>Total Equity</t>
  </si>
  <si>
    <t>Non current Liabilities</t>
  </si>
  <si>
    <t>Current Liabilities</t>
  </si>
  <si>
    <t>Total Equity &amp; Liabilities</t>
  </si>
  <si>
    <t>Cashflow Statement</t>
  </si>
  <si>
    <t>Cashflow from Operating activities</t>
  </si>
  <si>
    <t>Cashflow from Investing activities</t>
  </si>
  <si>
    <t>Cashflow from Financing activities</t>
  </si>
  <si>
    <t>Net Cashflow</t>
  </si>
  <si>
    <t>Free Cashflow to Firm</t>
  </si>
  <si>
    <t>Financial Ratios</t>
  </si>
  <si>
    <t>Gross Profit margin</t>
  </si>
  <si>
    <t>Operating Profit margin</t>
  </si>
  <si>
    <t>Net Profit margin</t>
  </si>
  <si>
    <t>Return on Equity</t>
  </si>
  <si>
    <t>Return on Asset</t>
  </si>
  <si>
    <t>Debt to Equity ratio</t>
  </si>
  <si>
    <t>Equity ratio</t>
  </si>
  <si>
    <t>Debt ratio</t>
  </si>
  <si>
    <t>Current ratio</t>
  </si>
  <si>
    <t>Quick ratio</t>
  </si>
  <si>
    <t>Cash ratio</t>
  </si>
  <si>
    <t>Interest Coverage</t>
  </si>
  <si>
    <t>Scenario:</t>
  </si>
  <si>
    <t>Last updated:</t>
  </si>
  <si>
    <t>Table of Content</t>
  </si>
  <si>
    <t>S/N</t>
  </si>
  <si>
    <t>Details</t>
  </si>
  <si>
    <t>Dashboard</t>
  </si>
  <si>
    <t>Assumption</t>
  </si>
  <si>
    <t>Workings</t>
  </si>
  <si>
    <t>Income statement</t>
  </si>
  <si>
    <t>Financial Position</t>
  </si>
  <si>
    <t>Cashflow</t>
  </si>
  <si>
    <t>Valuation</t>
  </si>
  <si>
    <t>Data 1</t>
  </si>
  <si>
    <t>Financial Ratio</t>
  </si>
  <si>
    <t>Days of week</t>
  </si>
  <si>
    <t>Month</t>
  </si>
  <si>
    <t>Quarter</t>
  </si>
  <si>
    <t xml:space="preserve">Inflation </t>
  </si>
  <si>
    <t>week</t>
  </si>
  <si>
    <t>Credit Sales</t>
  </si>
  <si>
    <t>Inventory</t>
  </si>
  <si>
    <t>Credit Purchase</t>
  </si>
  <si>
    <t>Tax rate</t>
  </si>
  <si>
    <t>Long term growth rate</t>
  </si>
  <si>
    <t>Margin</t>
  </si>
  <si>
    <t>Best case</t>
  </si>
  <si>
    <t>Base case</t>
  </si>
  <si>
    <t>Worst case</t>
  </si>
  <si>
    <t xml:space="preserve">Revenue </t>
  </si>
  <si>
    <t>Butter bread</t>
  </si>
  <si>
    <t>Unit/volume</t>
  </si>
  <si>
    <t>Unit price</t>
  </si>
  <si>
    <t>Coconut bread</t>
  </si>
  <si>
    <t>Chocolate bread</t>
  </si>
  <si>
    <t>Sandwich bread</t>
  </si>
  <si>
    <t>Direct Material</t>
  </si>
  <si>
    <t>Flour</t>
  </si>
  <si>
    <t>Sugar</t>
  </si>
  <si>
    <t>Water</t>
  </si>
  <si>
    <t>Other addictives</t>
  </si>
  <si>
    <t>Packaging material</t>
  </si>
  <si>
    <t>Direct Labour</t>
  </si>
  <si>
    <t>supervisor</t>
  </si>
  <si>
    <t>labourers</t>
  </si>
  <si>
    <t>Overheads</t>
  </si>
  <si>
    <t>unit</t>
  </si>
  <si>
    <t>NGN</t>
  </si>
  <si>
    <t>Selling,General and Admin Expense</t>
  </si>
  <si>
    <t>Electricity</t>
  </si>
  <si>
    <t>Travel Expense</t>
  </si>
  <si>
    <t>Marketing &amp; Promotion</t>
  </si>
  <si>
    <t>Rent</t>
  </si>
  <si>
    <t>Research &amp; development</t>
  </si>
  <si>
    <t>Fuel &amp; Diesel</t>
  </si>
  <si>
    <t>Legal Fees</t>
  </si>
  <si>
    <t>Consulting</t>
  </si>
  <si>
    <t>Others</t>
  </si>
  <si>
    <t>Staff Cost</t>
  </si>
  <si>
    <t>General Manager</t>
  </si>
  <si>
    <t>Finance Manager</t>
  </si>
  <si>
    <t>Operation Manager</t>
  </si>
  <si>
    <t>Supervisors</t>
  </si>
  <si>
    <t>Other Employees</t>
  </si>
  <si>
    <t>per month</t>
  </si>
  <si>
    <t>per quarter</t>
  </si>
  <si>
    <t>per annum</t>
  </si>
  <si>
    <t>Non-Current Asset</t>
  </si>
  <si>
    <t>Equipment</t>
  </si>
  <si>
    <t>Acquisition</t>
  </si>
  <si>
    <t>cost</t>
  </si>
  <si>
    <t>USL</t>
  </si>
  <si>
    <t>Scrap value</t>
  </si>
  <si>
    <t>Furniture &amp; Fittings</t>
  </si>
  <si>
    <t>Machine</t>
  </si>
  <si>
    <t>Delivery Truck</t>
  </si>
  <si>
    <t>Land &amp; Building</t>
  </si>
  <si>
    <t>% Building</t>
  </si>
  <si>
    <t>% Land</t>
  </si>
  <si>
    <t>Cash Sales</t>
  </si>
  <si>
    <t>Direct labour</t>
  </si>
  <si>
    <t>Labourers</t>
  </si>
  <si>
    <t>Closing Inventory</t>
  </si>
  <si>
    <t>Selling,General &amp; Admin Expense</t>
  </si>
  <si>
    <t>Building</t>
  </si>
  <si>
    <t>Land</t>
  </si>
  <si>
    <t>Salvage value</t>
  </si>
  <si>
    <t>Depreciation</t>
  </si>
  <si>
    <t>Accumulated Depreciation</t>
  </si>
  <si>
    <t>PPE</t>
  </si>
  <si>
    <t>Cost</t>
  </si>
  <si>
    <t>Acc Dep</t>
  </si>
  <si>
    <t>NBV</t>
  </si>
  <si>
    <t>Capex</t>
  </si>
  <si>
    <t>Opex</t>
  </si>
  <si>
    <t>Pre-operation Expense</t>
  </si>
  <si>
    <t>Cost of Goods</t>
  </si>
  <si>
    <t>SG&amp;A</t>
  </si>
  <si>
    <t>Equity</t>
  </si>
  <si>
    <t>Debt</t>
  </si>
  <si>
    <t>Total Financing</t>
  </si>
  <si>
    <t>Financing Requirement</t>
  </si>
  <si>
    <t>Registration &amp; Legal</t>
  </si>
  <si>
    <t>License</t>
  </si>
  <si>
    <t>Advertising &amp; Marketing</t>
  </si>
  <si>
    <t>Pre-Operational Expense</t>
  </si>
  <si>
    <t>Total</t>
  </si>
  <si>
    <t>Cost of Equity</t>
  </si>
  <si>
    <t>Dividend payout ratio</t>
  </si>
  <si>
    <t>Cost of debt</t>
  </si>
  <si>
    <t>Coupon rate</t>
  </si>
  <si>
    <t>Effective Interest rate</t>
  </si>
  <si>
    <t>Loan period</t>
  </si>
  <si>
    <t>Terminal year</t>
  </si>
  <si>
    <t>Financing</t>
  </si>
  <si>
    <t>Pre-operational Expense</t>
  </si>
  <si>
    <t>Opening Balance</t>
  </si>
  <si>
    <t>Principal</t>
  </si>
  <si>
    <t>Interest due</t>
  </si>
  <si>
    <t>Interest paid</t>
  </si>
  <si>
    <t>Terminal value</t>
  </si>
  <si>
    <t>Closing Balance</t>
  </si>
  <si>
    <t>Loan Amortisation Schedule</t>
  </si>
  <si>
    <t>Closing Receivable Balance</t>
  </si>
  <si>
    <t>Receivable</t>
  </si>
  <si>
    <t>Closing Payable Balance</t>
  </si>
  <si>
    <t>Payable</t>
  </si>
  <si>
    <t>Operating Profit (EBITDA)</t>
  </si>
  <si>
    <t>Depreciation &amp; Amortisation</t>
  </si>
  <si>
    <t>Earnings before Interest and Tax (EBIT)</t>
  </si>
  <si>
    <t>Finance cost (Interest expense)</t>
  </si>
  <si>
    <t>Profit Before Tax</t>
  </si>
  <si>
    <t>Tax Expenses</t>
  </si>
  <si>
    <t>Profit After Tax (Net Profit)</t>
  </si>
  <si>
    <t>Dividend</t>
  </si>
  <si>
    <t>Retained Earnings</t>
  </si>
  <si>
    <t>Cummulative Retained Earnings</t>
  </si>
  <si>
    <t>Profit (Loss) Before tax</t>
  </si>
  <si>
    <t>Taxable</t>
  </si>
  <si>
    <t xml:space="preserve">Tax Payable </t>
  </si>
  <si>
    <t>Profit After Tax</t>
  </si>
  <si>
    <t>Assets</t>
  </si>
  <si>
    <t>Non-Current Assets</t>
  </si>
  <si>
    <t>Property, Plant and Equipment</t>
  </si>
  <si>
    <t>Net Book Value</t>
  </si>
  <si>
    <t>Current Assets</t>
  </si>
  <si>
    <t>A/c Receivables</t>
  </si>
  <si>
    <t>Cash and Cash Equivalent</t>
  </si>
  <si>
    <t>Total Current Assets</t>
  </si>
  <si>
    <t>Total Assets</t>
  </si>
  <si>
    <t>Ordinary Shareholder Equity</t>
  </si>
  <si>
    <t>Liabilities</t>
  </si>
  <si>
    <t>Non Current Liabilities</t>
  </si>
  <si>
    <t>Loan</t>
  </si>
  <si>
    <t>Total Non Current Liabilities</t>
  </si>
  <si>
    <t>A/c Payable</t>
  </si>
  <si>
    <t>Tax payable</t>
  </si>
  <si>
    <t>Total Current Liabilities</t>
  </si>
  <si>
    <t>Total Liabilities</t>
  </si>
  <si>
    <t>Total Equity and Liabilities</t>
  </si>
  <si>
    <t>Dividend payable</t>
  </si>
  <si>
    <t>Operating Activities</t>
  </si>
  <si>
    <t>Adjustment:</t>
  </si>
  <si>
    <t>Interest Expense</t>
  </si>
  <si>
    <t>Taxation</t>
  </si>
  <si>
    <t>Cashflow Before Working Capital Adj</t>
  </si>
  <si>
    <t>Working Capital Adjustment:</t>
  </si>
  <si>
    <t>A/c Payables</t>
  </si>
  <si>
    <t>Cashflow After Working Capital Adj.</t>
  </si>
  <si>
    <t>Net Cashflow from Operating Activities</t>
  </si>
  <si>
    <t>Investing Activites</t>
  </si>
  <si>
    <t>Net Cashflow from Investing Activities</t>
  </si>
  <si>
    <t>Financial Activities</t>
  </si>
  <si>
    <t>Shareholder Equity</t>
  </si>
  <si>
    <t>Proceed from Debt</t>
  </si>
  <si>
    <t>Net cashflow from Financing Activities</t>
  </si>
  <si>
    <t>Net Changes</t>
  </si>
  <si>
    <t>Free cash flow firm</t>
  </si>
  <si>
    <t>(unlevered free cash flow)</t>
  </si>
  <si>
    <t>Net Income</t>
  </si>
  <si>
    <t xml:space="preserve">ADD: </t>
  </si>
  <si>
    <t>Non- cash Items</t>
  </si>
  <si>
    <t>ADD:</t>
  </si>
  <si>
    <t>Tax savings</t>
  </si>
  <si>
    <t>LESS:</t>
  </si>
  <si>
    <t>Changes in Working Capital</t>
  </si>
  <si>
    <t>CAPEX</t>
  </si>
  <si>
    <t>FCFF</t>
  </si>
  <si>
    <t>FCFF YR 5*(1 + GROWTH RATE)/WACC - GROWTH RATE</t>
  </si>
  <si>
    <t>Total FCFF</t>
  </si>
  <si>
    <t>Discounting Factor</t>
  </si>
  <si>
    <t>(1+WACC)^-n</t>
  </si>
  <si>
    <t>Present Value</t>
  </si>
  <si>
    <t>PV</t>
  </si>
  <si>
    <t>Enterprise valuation</t>
  </si>
  <si>
    <t>Free cash flow  Equity</t>
  </si>
  <si>
    <t>Net Debt</t>
  </si>
  <si>
    <t>(End Bal - Opn Bal)</t>
  </si>
  <si>
    <t>FCFE</t>
  </si>
  <si>
    <t>FCFE YR 5 *(1+GROWTH RATE)/ke -growth rate</t>
  </si>
  <si>
    <t>Total FCFE</t>
  </si>
  <si>
    <t>(1+Ke)^-n</t>
  </si>
  <si>
    <t xml:space="preserve">Present value </t>
  </si>
  <si>
    <t>Equity Valuation</t>
  </si>
  <si>
    <t>Interest Expense(Finance cost)</t>
  </si>
  <si>
    <t>Taxshield</t>
  </si>
  <si>
    <t>Tax Savings</t>
  </si>
  <si>
    <t>Tax shield</t>
  </si>
  <si>
    <t>Weighted Average Cost of capital (WACC)</t>
  </si>
  <si>
    <t>WACC</t>
  </si>
  <si>
    <t>((equity/equity + debt)*cost of equity) + ((debt/debt +equity)* cost of debt (1-tax rate)</t>
  </si>
  <si>
    <t>Value of Equity</t>
  </si>
  <si>
    <t>Cost of Debt</t>
  </si>
  <si>
    <t>Value of Debt</t>
  </si>
  <si>
    <t>Total value</t>
  </si>
  <si>
    <t>Capital Asset Pricing Model</t>
  </si>
  <si>
    <t>CAPM</t>
  </si>
  <si>
    <t>Rf+ b(Rm -Rf)</t>
  </si>
  <si>
    <t xml:space="preserve">Risk free rate </t>
  </si>
  <si>
    <t>beta</t>
  </si>
  <si>
    <t>Market return</t>
  </si>
  <si>
    <t>RRI</t>
  </si>
  <si>
    <t>Profitability</t>
  </si>
  <si>
    <t>GP Margin</t>
  </si>
  <si>
    <t>OP Margin</t>
  </si>
  <si>
    <t>NP Margin</t>
  </si>
  <si>
    <t>ROCE</t>
  </si>
  <si>
    <t>ROA</t>
  </si>
  <si>
    <t>Liquidity</t>
  </si>
  <si>
    <t>current ratio</t>
  </si>
  <si>
    <t>Quick ratio (acid test)</t>
  </si>
  <si>
    <t xml:space="preserve">Leverage </t>
  </si>
  <si>
    <t xml:space="preserve">Debt to Equity </t>
  </si>
  <si>
    <t>Efficiency</t>
  </si>
  <si>
    <t>AR turnover ratio</t>
  </si>
  <si>
    <t>DSO (AR Turnover days)</t>
  </si>
  <si>
    <t>Inventory Turnover ratio</t>
  </si>
  <si>
    <t>DIO (Inventory Turnover in days)</t>
  </si>
  <si>
    <t>AP Turnover ratio</t>
  </si>
  <si>
    <t>DPO (AP Turnover in days)</t>
  </si>
  <si>
    <t>Operating Cycle</t>
  </si>
  <si>
    <t>Dataset</t>
  </si>
  <si>
    <t>Year</t>
  </si>
  <si>
    <t>COS</t>
  </si>
  <si>
    <t>Opex items</t>
  </si>
  <si>
    <t>Operating Profit</t>
  </si>
  <si>
    <t>Employee cost</t>
  </si>
  <si>
    <t>Dep &amp; Amort.</t>
  </si>
  <si>
    <t>Other Expenses</t>
  </si>
  <si>
    <t>Row Labels</t>
  </si>
  <si>
    <t>Grand Total</t>
  </si>
  <si>
    <t>Sum of Revenue</t>
  </si>
  <si>
    <t>Sum of COS</t>
  </si>
  <si>
    <t>Sum of Gross Profit</t>
  </si>
  <si>
    <t>Sum of Net Profit</t>
  </si>
  <si>
    <t>Sum of Opex</t>
  </si>
  <si>
    <t>Column Labels</t>
  </si>
  <si>
    <t>Average of Revenue</t>
  </si>
  <si>
    <t>Average of Gross Profit</t>
  </si>
  <si>
    <t>Average of Net Profit</t>
  </si>
  <si>
    <t>Sum of GP Margin</t>
  </si>
  <si>
    <t>Sum of NP Margin</t>
  </si>
  <si>
    <t>Sum of ROCE</t>
  </si>
  <si>
    <t xml:space="preserve"> Revenue</t>
  </si>
  <si>
    <t xml:space="preserve"> Gross Profit</t>
  </si>
  <si>
    <t xml:space="preserve"> Net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</si>
</sst>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 #,##0.00_-;_-* &quot;-&quot;??_-;_-@_-"/>
    <numFmt numFmtId="170" formatCode="_-* #,##0_-;\-* #,##0_-;_-* &quot;-&quot;??_-;_-@_-"/>
    <numFmt numFmtId="171" formatCode="0\ &quot;years&quot;"/>
    <numFmt numFmtId="174" formatCode="#,##0_ ;\-#,##0\ "/>
    <numFmt numFmtId="175" formatCode="0\ &quot;months&quot;"/>
    <numFmt numFmtId="176" formatCode="0.0%"/>
    <numFmt numFmtId="189" formatCode="&quot;2025&quot;"/>
    <numFmt numFmtId="191" formatCode="&quot;2026&quot;"/>
    <numFmt numFmtId="192" formatCode="&quot;2027&quot;"/>
    <numFmt numFmtId="193" formatCode="&quot;2028&quot;"/>
    <numFmt numFmtId="194" formatCode="&quot;2029&quot;"/>
    <numFmt numFmtId="195" formatCode="[$₦-470]#,##0;\-[$₦-470]#,##0"/>
  </numFmts>
  <fonts count="10"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
      <i/>
      <sz val="11"/>
      <color theme="1"/>
      <name val="Aptos Narrow"/>
      <family val="2"/>
      <scheme val="minor"/>
    </font>
    <font>
      <u/>
      <sz val="11"/>
      <color theme="10"/>
      <name val="Aptos Narrow"/>
      <family val="2"/>
      <scheme val="minor"/>
    </font>
    <font>
      <b/>
      <sz val="18"/>
      <color theme="1"/>
      <name val="Aptos Narrow"/>
      <family val="2"/>
      <scheme val="minor"/>
    </font>
    <font>
      <sz val="22"/>
      <color theme="0"/>
      <name val="Aptos Narrow"/>
      <family val="2"/>
      <scheme val="minor"/>
    </font>
    <font>
      <i/>
      <sz val="9"/>
      <color theme="1"/>
      <name val="Aptos Narrow"/>
      <family val="2"/>
      <scheme val="minor"/>
    </font>
  </fonts>
  <fills count="11">
    <fill>
      <patternFill patternType="none"/>
    </fill>
    <fill>
      <patternFill patternType="gray125"/>
    </fill>
    <fill>
      <patternFill patternType="solid">
        <fgColor theme="2" tint="-9.9978637043366805E-2"/>
        <bgColor indexed="64"/>
      </patternFill>
    </fill>
    <fill>
      <patternFill patternType="solid">
        <fgColor rgb="FF0070C0"/>
        <bgColor indexed="64"/>
      </patternFill>
    </fill>
    <fill>
      <patternFill patternType="solid">
        <fgColor theme="2"/>
        <bgColor indexed="64"/>
      </patternFill>
    </fill>
    <fill>
      <patternFill patternType="solid">
        <fgColor rgb="FFFFFF00"/>
        <bgColor indexed="64"/>
      </patternFill>
    </fill>
    <fill>
      <patternFill patternType="solid">
        <fgColor theme="0"/>
        <bgColor indexed="64"/>
      </patternFill>
    </fill>
    <fill>
      <patternFill patternType="solid">
        <fgColor theme="1"/>
        <bgColor theme="1"/>
      </patternFill>
    </fill>
    <fill>
      <patternFill patternType="solid">
        <fgColor theme="0" tint="-0.14999847407452621"/>
        <bgColor theme="0" tint="-0.14999847407452621"/>
      </patternFill>
    </fill>
    <fill>
      <patternFill patternType="solid">
        <fgColor theme="4" tint="0.79998168889431442"/>
        <bgColor theme="4" tint="0.79998168889431442"/>
      </patternFill>
    </fill>
    <fill>
      <patternFill patternType="solid">
        <fgColor theme="1" tint="0.34998626667073579"/>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hair">
        <color auto="1"/>
      </left>
      <right style="hair">
        <color auto="1"/>
      </right>
      <top style="hair">
        <color auto="1"/>
      </top>
      <bottom style="hair">
        <color auto="1"/>
      </bottom>
      <diagonal/>
    </border>
    <border>
      <left/>
      <right/>
      <top/>
      <bottom style="thick">
        <color auto="1"/>
      </bottom>
      <diagonal/>
    </border>
    <border>
      <left/>
      <right/>
      <top style="thick">
        <color auto="1"/>
      </top>
      <bottom style="thick">
        <color auto="1"/>
      </bottom>
      <diagonal/>
    </border>
    <border>
      <left/>
      <right/>
      <top style="thick">
        <color auto="1"/>
      </top>
      <bottom/>
      <diagonal/>
    </border>
    <border>
      <left style="hair">
        <color auto="1"/>
      </left>
      <right style="hair">
        <color auto="1"/>
      </right>
      <top style="hair">
        <color auto="1"/>
      </top>
      <bottom/>
      <diagonal/>
    </border>
    <border>
      <left style="hair">
        <color auto="1"/>
      </left>
      <right style="hair">
        <color auto="1"/>
      </right>
      <top style="hair">
        <color auto="1"/>
      </top>
      <bottom style="thick">
        <color auto="1"/>
      </bottom>
      <diagonal/>
    </border>
    <border>
      <left/>
      <right/>
      <top style="medium">
        <color indexed="64"/>
      </top>
      <bottom style="medium">
        <color indexed="64"/>
      </bottom>
      <diagonal/>
    </border>
    <border>
      <left/>
      <right/>
      <top style="thin">
        <color theme="1"/>
      </top>
      <bottom style="thin">
        <color theme="1"/>
      </bottom>
      <diagonal/>
    </border>
    <border>
      <left/>
      <right/>
      <top/>
      <bottom style="thin">
        <color theme="1"/>
      </bottom>
      <diagonal/>
    </border>
    <border>
      <left/>
      <right style="thin">
        <color theme="1"/>
      </right>
      <top/>
      <bottom style="thin">
        <color theme="1"/>
      </bottom>
      <diagonal/>
    </border>
    <border>
      <left style="hair">
        <color indexed="64"/>
      </left>
      <right style="hair">
        <color indexed="64"/>
      </right>
      <top style="hair">
        <color indexed="64"/>
      </top>
      <bottom style="medium">
        <color indexed="64"/>
      </bottom>
      <diagonal/>
    </border>
    <border>
      <left/>
      <right/>
      <top/>
      <bottom style="thin">
        <color theme="4" tint="0.39997558519241921"/>
      </bottom>
      <diagonal/>
    </border>
    <border>
      <left/>
      <right/>
      <top style="thin">
        <color theme="4" tint="0.39997558519241921"/>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cellStyleXfs>
  <cellXfs count="102">
    <xf numFmtId="0" fontId="0" fillId="0" borderId="0" xfId="0"/>
    <xf numFmtId="0" fontId="3" fillId="0" borderId="0" xfId="0" applyFont="1"/>
    <xf numFmtId="0" fontId="5" fillId="0" borderId="0" xfId="0" applyFont="1"/>
    <xf numFmtId="0" fontId="0" fillId="2"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3" fillId="0" borderId="4" xfId="0" applyFont="1" applyBorder="1"/>
    <xf numFmtId="0" fontId="7" fillId="0" borderId="0" xfId="0" applyFont="1" applyBorder="1"/>
    <xf numFmtId="0" fontId="8" fillId="3" borderId="0" xfId="0" applyFont="1" applyFill="1" applyAlignment="1">
      <alignment horizontal="centerContinuous"/>
    </xf>
    <xf numFmtId="0" fontId="0" fillId="0" borderId="9" xfId="0" applyBorder="1"/>
    <xf numFmtId="0" fontId="3" fillId="0" borderId="10" xfId="0" applyFont="1" applyBorder="1"/>
    <xf numFmtId="0" fontId="0" fillId="0" borderId="0" xfId="0" applyAlignment="1">
      <alignment horizontal="center"/>
    </xf>
    <xf numFmtId="0" fontId="0" fillId="0" borderId="7" xfId="0" applyBorder="1" applyAlignment="1">
      <alignment horizontal="center"/>
    </xf>
    <xf numFmtId="0" fontId="6" fillId="0" borderId="0" xfId="3" applyAlignment="1">
      <alignment horizontal="center"/>
    </xf>
    <xf numFmtId="9" fontId="0" fillId="0" borderId="0" xfId="2" applyFont="1"/>
    <xf numFmtId="9" fontId="0" fillId="0" borderId="0" xfId="0" applyNumberFormat="1"/>
    <xf numFmtId="10" fontId="0" fillId="0" borderId="0" xfId="0" applyNumberFormat="1"/>
    <xf numFmtId="9" fontId="0" fillId="0" borderId="9" xfId="0" applyNumberFormat="1" applyBorder="1"/>
    <xf numFmtId="0" fontId="3" fillId="4" borderId="0" xfId="0" applyFont="1" applyFill="1"/>
    <xf numFmtId="0" fontId="0" fillId="4" borderId="0" xfId="0" applyFill="1"/>
    <xf numFmtId="170" fontId="0" fillId="0" borderId="0" xfId="1" applyNumberFormat="1" applyFont="1"/>
    <xf numFmtId="170" fontId="0" fillId="0" borderId="0" xfId="0" applyNumberFormat="1"/>
    <xf numFmtId="170" fontId="3" fillId="0" borderId="11" xfId="0" applyNumberFormat="1" applyFont="1" applyBorder="1"/>
    <xf numFmtId="170" fontId="0" fillId="0" borderId="10" xfId="0" applyNumberFormat="1" applyBorder="1"/>
    <xf numFmtId="170" fontId="0" fillId="0" borderId="11" xfId="0" applyNumberFormat="1" applyBorder="1"/>
    <xf numFmtId="170" fontId="0" fillId="0" borderId="12" xfId="0" applyNumberFormat="1" applyBorder="1"/>
    <xf numFmtId="170" fontId="0" fillId="0" borderId="9" xfId="1" applyNumberFormat="1" applyFont="1" applyBorder="1"/>
    <xf numFmtId="170" fontId="0" fillId="0" borderId="13" xfId="1" applyNumberFormat="1" applyFont="1" applyBorder="1"/>
    <xf numFmtId="38" fontId="0" fillId="0" borderId="0" xfId="0" applyNumberFormat="1"/>
    <xf numFmtId="38" fontId="0" fillId="0" borderId="9" xfId="0" applyNumberFormat="1" applyBorder="1"/>
    <xf numFmtId="38" fontId="3" fillId="0" borderId="0" xfId="0" applyNumberFormat="1" applyFont="1"/>
    <xf numFmtId="38" fontId="0" fillId="0" borderId="13" xfId="0" applyNumberFormat="1" applyBorder="1"/>
    <xf numFmtId="38" fontId="3" fillId="0" borderId="11" xfId="0" applyNumberFormat="1" applyFont="1" applyBorder="1"/>
    <xf numFmtId="174" fontId="0" fillId="0" borderId="0" xfId="0" applyNumberFormat="1"/>
    <xf numFmtId="175" fontId="0" fillId="0" borderId="0" xfId="0" applyNumberFormat="1"/>
    <xf numFmtId="9" fontId="0" fillId="0" borderId="14" xfId="0" applyNumberFormat="1" applyBorder="1"/>
    <xf numFmtId="9" fontId="0" fillId="0" borderId="11" xfId="0" applyNumberFormat="1" applyBorder="1"/>
    <xf numFmtId="171" fontId="0" fillId="0" borderId="9" xfId="0" applyNumberFormat="1" applyBorder="1"/>
    <xf numFmtId="170" fontId="0" fillId="0" borderId="9" xfId="0" applyNumberFormat="1" applyBorder="1"/>
    <xf numFmtId="170" fontId="0" fillId="5" borderId="9" xfId="1" applyNumberFormat="1" applyFont="1" applyFill="1" applyBorder="1"/>
    <xf numFmtId="0" fontId="3" fillId="0" borderId="10" xfId="0" applyFont="1" applyBorder="1" applyAlignment="1">
      <alignment horizontal="center"/>
    </xf>
    <xf numFmtId="38" fontId="3" fillId="0" borderId="12" xfId="0" applyNumberFormat="1" applyFont="1" applyBorder="1"/>
    <xf numFmtId="38" fontId="3" fillId="5" borderId="0" xfId="0" applyNumberFormat="1" applyFont="1" applyFill="1"/>
    <xf numFmtId="170" fontId="3" fillId="5" borderId="11" xfId="0" applyNumberFormat="1" applyFont="1" applyFill="1" applyBorder="1"/>
    <xf numFmtId="170" fontId="3" fillId="5" borderId="0" xfId="0" applyNumberFormat="1" applyFont="1" applyFill="1"/>
    <xf numFmtId="170" fontId="0" fillId="0" borderId="14" xfId="1" applyNumberFormat="1" applyFont="1" applyBorder="1"/>
    <xf numFmtId="0" fontId="0" fillId="0" borderId="14" xfId="0" applyBorder="1"/>
    <xf numFmtId="38" fontId="0" fillId="0" borderId="14" xfId="0" applyNumberFormat="1" applyBorder="1"/>
    <xf numFmtId="38" fontId="3" fillId="0" borderId="9" xfId="1" applyNumberFormat="1" applyFont="1" applyBorder="1"/>
    <xf numFmtId="38" fontId="3" fillId="0" borderId="2" xfId="0" applyNumberFormat="1" applyFont="1" applyBorder="1"/>
    <xf numFmtId="38" fontId="3" fillId="0" borderId="15" xfId="0" applyNumberFormat="1" applyFont="1" applyBorder="1"/>
    <xf numFmtId="170" fontId="3" fillId="0" borderId="15" xfId="0" applyNumberFormat="1" applyFont="1" applyBorder="1"/>
    <xf numFmtId="37" fontId="0" fillId="0" borderId="0" xfId="0" applyNumberFormat="1"/>
    <xf numFmtId="170" fontId="3" fillId="5" borderId="15" xfId="0" applyNumberFormat="1" applyFont="1" applyFill="1" applyBorder="1"/>
    <xf numFmtId="0" fontId="4" fillId="0" borderId="0" xfId="0" applyFont="1"/>
    <xf numFmtId="0" fontId="9" fillId="0" borderId="0" xfId="0" applyFont="1"/>
    <xf numFmtId="37" fontId="3" fillId="0" borderId="15" xfId="0" applyNumberFormat="1" applyFont="1" applyBorder="1"/>
    <xf numFmtId="189" fontId="3" fillId="0" borderId="10" xfId="0" applyNumberFormat="1" applyFont="1" applyBorder="1" applyAlignment="1">
      <alignment horizontal="center"/>
    </xf>
    <xf numFmtId="191" fontId="3" fillId="0" borderId="10" xfId="0" applyNumberFormat="1" applyFont="1" applyBorder="1" applyAlignment="1">
      <alignment horizontal="center"/>
    </xf>
    <xf numFmtId="192" fontId="3" fillId="0" borderId="10" xfId="0" applyNumberFormat="1" applyFont="1" applyBorder="1" applyAlignment="1">
      <alignment horizontal="center"/>
    </xf>
    <xf numFmtId="193" fontId="3" fillId="0" borderId="10" xfId="0" applyNumberFormat="1" applyFont="1" applyBorder="1" applyAlignment="1">
      <alignment horizontal="center"/>
    </xf>
    <xf numFmtId="194" fontId="3" fillId="0" borderId="10" xfId="0" applyNumberFormat="1" applyFont="1" applyBorder="1" applyAlignment="1">
      <alignment horizontal="center"/>
    </xf>
    <xf numFmtId="170" fontId="3" fillId="6" borderId="0" xfId="0" applyNumberFormat="1" applyFont="1" applyFill="1"/>
    <xf numFmtId="37" fontId="0" fillId="0" borderId="9" xfId="0" applyNumberFormat="1" applyBorder="1"/>
    <xf numFmtId="2" fontId="0" fillId="0" borderId="9" xfId="0" applyNumberFormat="1" applyBorder="1"/>
    <xf numFmtId="0" fontId="0" fillId="0" borderId="16" xfId="0" applyBorder="1"/>
    <xf numFmtId="0" fontId="0" fillId="8" borderId="16" xfId="0" applyFill="1" applyBorder="1"/>
    <xf numFmtId="0" fontId="0" fillId="8" borderId="0" xfId="0" applyFill="1" applyBorder="1"/>
    <xf numFmtId="0" fontId="2" fillId="7" borderId="17" xfId="0" applyFont="1" applyFill="1" applyBorder="1"/>
    <xf numFmtId="0" fontId="2" fillId="7" borderId="18" xfId="0" applyFont="1" applyFill="1" applyBorder="1"/>
    <xf numFmtId="9" fontId="0" fillId="0" borderId="9" xfId="2" applyFont="1" applyBorder="1"/>
    <xf numFmtId="174" fontId="0" fillId="0" borderId="9" xfId="0" applyNumberFormat="1" applyBorder="1"/>
    <xf numFmtId="0" fontId="0" fillId="0" borderId="19" xfId="0" applyBorder="1"/>
    <xf numFmtId="170" fontId="3" fillId="5" borderId="9" xfId="0" applyNumberFormat="1" applyFont="1" applyFill="1" applyBorder="1"/>
    <xf numFmtId="0" fontId="0" fillId="0" borderId="13" xfId="0" applyBorder="1"/>
    <xf numFmtId="170" fontId="0" fillId="5" borderId="9" xfId="0" applyNumberFormat="1" applyFill="1" applyBorder="1"/>
    <xf numFmtId="38" fontId="3" fillId="0" borderId="9" xfId="0" applyNumberFormat="1" applyFont="1" applyBorder="1"/>
    <xf numFmtId="38" fontId="0" fillId="0" borderId="19" xfId="0" applyNumberFormat="1" applyBorder="1"/>
    <xf numFmtId="170" fontId="0" fillId="0" borderId="19" xfId="1" applyNumberFormat="1" applyFont="1" applyBorder="1"/>
    <xf numFmtId="170" fontId="3" fillId="0" borderId="9" xfId="1" applyNumberFormat="1" applyFont="1" applyBorder="1"/>
    <xf numFmtId="10" fontId="0" fillId="0" borderId="9" xfId="0" applyNumberFormat="1" applyBorder="1"/>
    <xf numFmtId="10" fontId="0" fillId="0" borderId="9" xfId="2" applyNumberFormat="1" applyFont="1" applyBorder="1"/>
    <xf numFmtId="176" fontId="0" fillId="0" borderId="9" xfId="0" applyNumberFormat="1" applyBorder="1"/>
    <xf numFmtId="176" fontId="0" fillId="0" borderId="9" xfId="2" applyNumberFormat="1" applyFont="1" applyBorder="1"/>
    <xf numFmtId="170" fontId="3" fillId="0" borderId="10" xfId="0" applyNumberFormat="1" applyFont="1" applyBorder="1"/>
    <xf numFmtId="170" fontId="0" fillId="0" borderId="14" xfId="0" applyNumberFormat="1" applyBorder="1"/>
    <xf numFmtId="0" fontId="3" fillId="9" borderId="20" xfId="0" applyFont="1" applyFill="1" applyBorder="1"/>
    <xf numFmtId="0" fontId="0" fillId="0" borderId="0" xfId="0" pivotButton="1"/>
    <xf numFmtId="0" fontId="0" fillId="0" borderId="0" xfId="0" applyAlignment="1">
      <alignment horizontal="left"/>
    </xf>
    <xf numFmtId="0" fontId="0" fillId="10" borderId="0" xfId="0" applyFill="1"/>
    <xf numFmtId="0" fontId="8" fillId="10" borderId="0" xfId="0" applyFont="1" applyFill="1" applyAlignment="1">
      <alignment horizontal="centerContinuous"/>
    </xf>
    <xf numFmtId="195" fontId="3" fillId="9" borderId="21" xfId="0" applyNumberFormat="1" applyFont="1" applyFill="1" applyBorder="1"/>
    <xf numFmtId="14" fontId="0" fillId="0" borderId="0" xfId="0" applyNumberFormat="1"/>
    <xf numFmtId="14" fontId="0" fillId="10" borderId="0" xfId="0" applyNumberFormat="1" applyFill="1"/>
    <xf numFmtId="37" fontId="0" fillId="0" borderId="9" xfId="1" applyNumberFormat="1" applyFont="1" applyBorder="1"/>
  </cellXfs>
  <cellStyles count="4">
    <cellStyle name="Comma" xfId="1" builtinId="3"/>
    <cellStyle name="Hyperlink" xfId="3" builtinId="8"/>
    <cellStyle name="Normal" xfId="0" builtinId="0"/>
    <cellStyle name="Percent" xfId="2" builtinId="5"/>
  </cellStyles>
  <dxfs count="30">
    <dxf>
      <numFmt numFmtId="170" formatCode="_-* #,##0_-;\-* #,##0_-;_-* &quot;-&quot;??_-;_-@_-"/>
    </dxf>
    <dxf>
      <numFmt numFmtId="170" formatCode="_-* #,##0_-;\-* #,##0_-;_-* &quot;-&quot;??_-;_-@_-"/>
    </dxf>
    <dxf>
      <numFmt numFmtId="170" formatCode="_-* #,##0_-;\-* #,##0_-;_-* &quot;-&quot;??_-;_-@_-"/>
    </dxf>
    <dxf>
      <numFmt numFmtId="170" formatCode="_-* #,##0_-;\-* #,##0_-;_-* &quot;-&quot;??_-;_-@_-"/>
    </dxf>
    <dxf>
      <numFmt numFmtId="13" formatCode="0%"/>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3" formatCode="0%"/>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font>
        <b/>
        <i val="0"/>
        <strike val="0"/>
        <condense val="0"/>
        <extend val="0"/>
        <outline val="0"/>
        <shadow val="0"/>
        <u val="none"/>
        <vertAlign val="baseline"/>
        <sz val="11"/>
        <color theme="0"/>
        <name val="Aptos Narrow"/>
        <family val="2"/>
        <scheme val="minor"/>
      </font>
      <fill>
        <patternFill patternType="solid">
          <fgColor theme="1"/>
          <bgColor theme="1"/>
        </patternFill>
      </fill>
    </dxf>
    <dxf>
      <font>
        <b val="0"/>
        <i val="0"/>
        <strike val="0"/>
        <condense val="0"/>
        <extend val="0"/>
        <outline val="0"/>
        <shadow val="0"/>
        <u val="none"/>
        <vertAlign val="baseline"/>
        <sz val="11"/>
        <color theme="1"/>
        <name val="Aptos Narrow"/>
        <family val="2"/>
        <scheme val="minor"/>
      </font>
      <numFmt numFmtId="170" formatCode="_-* #,##0_-;\-* #,##0_-;_-* &quot;-&quot;??_-;_-@_-"/>
    </dxf>
    <dxf>
      <border diagonalUp="0" diagonalDown="0">
        <left/>
        <right/>
        <top style="thin">
          <color theme="1"/>
        </top>
        <bottom style="thin">
          <color theme="1"/>
        </bottom>
        <vertical/>
        <horizontal/>
      </border>
    </dxf>
    <dxf>
      <fill>
        <patternFill patternType="solid">
          <fgColor theme="0" tint="-0.14999847407452621"/>
          <bgColor theme="0" tint="-0.14999847407452621"/>
        </patternFill>
      </fill>
    </dxf>
    <dxf>
      <border outline="0">
        <bottom style="thin">
          <color theme="1"/>
        </bottom>
      </border>
    </dxf>
    <dxf>
      <border outline="0">
        <left style="thin">
          <color theme="1"/>
        </left>
        <top style="thin">
          <color theme="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[Sweet Bread Bakery model.xlsx]Pivot!PivotTable1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000" b="1"/>
              <a:t>Operating</a:t>
            </a:r>
            <a:r>
              <a:rPr lang="en-GB" sz="1000" b="1" baseline="0"/>
              <a:t> Performance</a:t>
            </a:r>
            <a:endParaRPr lang="en-GB" sz="10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Pivot!$B$2</c:f>
              <c:strCache>
                <c:ptCount val="1"/>
                <c:pt idx="0">
                  <c:v>Sum of Revenue</c:v>
                </c:pt>
              </c:strCache>
            </c:strRef>
          </c:tx>
          <c:spPr>
            <a:solidFill>
              <a:schemeClr val="accent1"/>
            </a:solidFill>
            <a:ln>
              <a:noFill/>
            </a:ln>
            <a:effectLst/>
          </c:spPr>
          <c:invertIfNegative val="0"/>
          <c:cat>
            <c:strRef>
              <c:f>Pivot!$A$3:$A$8</c:f>
              <c:strCache>
                <c:ptCount val="5"/>
                <c:pt idx="0">
                  <c:v>2025</c:v>
                </c:pt>
                <c:pt idx="1">
                  <c:v>2026</c:v>
                </c:pt>
                <c:pt idx="2">
                  <c:v>2027</c:v>
                </c:pt>
                <c:pt idx="3">
                  <c:v>2028</c:v>
                </c:pt>
                <c:pt idx="4">
                  <c:v>2029</c:v>
                </c:pt>
              </c:strCache>
            </c:strRef>
          </c:cat>
          <c:val>
            <c:numRef>
              <c:f>Pivot!$B$3:$B$8</c:f>
              <c:numCache>
                <c:formatCode>_-* #,##0_-;\-* #,##0_-;_-* "-"??_-;_-@_-</c:formatCode>
                <c:ptCount val="5"/>
                <c:pt idx="0">
                  <c:v>148124160</c:v>
                </c:pt>
                <c:pt idx="1">
                  <c:v>159010560</c:v>
                </c:pt>
                <c:pt idx="2">
                  <c:v>207083520</c:v>
                </c:pt>
                <c:pt idx="3">
                  <c:v>250560000</c:v>
                </c:pt>
                <c:pt idx="4">
                  <c:v>297043200</c:v>
                </c:pt>
              </c:numCache>
            </c:numRef>
          </c:val>
          <c:extLst>
            <c:ext xmlns:c16="http://schemas.microsoft.com/office/drawing/2014/chart" uri="{C3380CC4-5D6E-409C-BE32-E72D297353CC}">
              <c16:uniqueId val="{00000000-C33F-43B4-87BD-CFA7565D212D}"/>
            </c:ext>
          </c:extLst>
        </c:ser>
        <c:ser>
          <c:idx val="1"/>
          <c:order val="1"/>
          <c:tx>
            <c:strRef>
              <c:f>Pivot!$C$2</c:f>
              <c:strCache>
                <c:ptCount val="1"/>
                <c:pt idx="0">
                  <c:v>Sum of COS</c:v>
                </c:pt>
              </c:strCache>
            </c:strRef>
          </c:tx>
          <c:spPr>
            <a:solidFill>
              <a:schemeClr val="accent2"/>
            </a:solidFill>
            <a:ln>
              <a:noFill/>
            </a:ln>
            <a:effectLst/>
          </c:spPr>
          <c:invertIfNegative val="0"/>
          <c:cat>
            <c:strRef>
              <c:f>Pivot!$A$3:$A$8</c:f>
              <c:strCache>
                <c:ptCount val="5"/>
                <c:pt idx="0">
                  <c:v>2025</c:v>
                </c:pt>
                <c:pt idx="1">
                  <c:v>2026</c:v>
                </c:pt>
                <c:pt idx="2">
                  <c:v>2027</c:v>
                </c:pt>
                <c:pt idx="3">
                  <c:v>2028</c:v>
                </c:pt>
                <c:pt idx="4">
                  <c:v>2029</c:v>
                </c:pt>
              </c:strCache>
            </c:strRef>
          </c:cat>
          <c:val>
            <c:numRef>
              <c:f>Pivot!$C$3:$C$8</c:f>
              <c:numCache>
                <c:formatCode>_-* #,##0_-;\-* #,##0_-;_-* "-"??_-;_-@_-</c:formatCode>
                <c:ptCount val="5"/>
                <c:pt idx="0">
                  <c:v>53282764.800000004</c:v>
                </c:pt>
                <c:pt idx="1">
                  <c:v>56330956.800000004</c:v>
                </c:pt>
                <c:pt idx="2">
                  <c:v>69791385.599999994</c:v>
                </c:pt>
                <c:pt idx="3">
                  <c:v>81964800</c:v>
                </c:pt>
                <c:pt idx="4">
                  <c:v>94980096</c:v>
                </c:pt>
              </c:numCache>
            </c:numRef>
          </c:val>
          <c:extLst>
            <c:ext xmlns:c16="http://schemas.microsoft.com/office/drawing/2014/chart" uri="{C3380CC4-5D6E-409C-BE32-E72D297353CC}">
              <c16:uniqueId val="{00000001-C33F-43B4-87BD-CFA7565D212D}"/>
            </c:ext>
          </c:extLst>
        </c:ser>
        <c:ser>
          <c:idx val="2"/>
          <c:order val="2"/>
          <c:tx>
            <c:strRef>
              <c:f>Pivot!$D$2</c:f>
              <c:strCache>
                <c:ptCount val="1"/>
                <c:pt idx="0">
                  <c:v>Sum of Gross Profit</c:v>
                </c:pt>
              </c:strCache>
            </c:strRef>
          </c:tx>
          <c:spPr>
            <a:solidFill>
              <a:schemeClr val="accent3"/>
            </a:solidFill>
            <a:ln>
              <a:noFill/>
            </a:ln>
            <a:effectLst/>
          </c:spPr>
          <c:invertIfNegative val="0"/>
          <c:cat>
            <c:strRef>
              <c:f>Pivot!$A$3:$A$8</c:f>
              <c:strCache>
                <c:ptCount val="5"/>
                <c:pt idx="0">
                  <c:v>2025</c:v>
                </c:pt>
                <c:pt idx="1">
                  <c:v>2026</c:v>
                </c:pt>
                <c:pt idx="2">
                  <c:v>2027</c:v>
                </c:pt>
                <c:pt idx="3">
                  <c:v>2028</c:v>
                </c:pt>
                <c:pt idx="4">
                  <c:v>2029</c:v>
                </c:pt>
              </c:strCache>
            </c:strRef>
          </c:cat>
          <c:val>
            <c:numRef>
              <c:f>Pivot!$D$3:$D$8</c:f>
              <c:numCache>
                <c:formatCode>_-* #,##0_-;\-* #,##0_-;_-* "-"??_-;_-@_-</c:formatCode>
                <c:ptCount val="5"/>
                <c:pt idx="0">
                  <c:v>94841395.199999988</c:v>
                </c:pt>
                <c:pt idx="1">
                  <c:v>102679603.19999999</c:v>
                </c:pt>
                <c:pt idx="2">
                  <c:v>137292134.40000001</c:v>
                </c:pt>
                <c:pt idx="3">
                  <c:v>168595200</c:v>
                </c:pt>
                <c:pt idx="4">
                  <c:v>202063104</c:v>
                </c:pt>
              </c:numCache>
            </c:numRef>
          </c:val>
          <c:extLst>
            <c:ext xmlns:c16="http://schemas.microsoft.com/office/drawing/2014/chart" uri="{C3380CC4-5D6E-409C-BE32-E72D297353CC}">
              <c16:uniqueId val="{00000002-C33F-43B4-87BD-CFA7565D212D}"/>
            </c:ext>
          </c:extLst>
        </c:ser>
        <c:ser>
          <c:idx val="3"/>
          <c:order val="3"/>
          <c:tx>
            <c:strRef>
              <c:f>Pivot!$E$2</c:f>
              <c:strCache>
                <c:ptCount val="1"/>
                <c:pt idx="0">
                  <c:v>Sum of Net Profit</c:v>
                </c:pt>
              </c:strCache>
            </c:strRef>
          </c:tx>
          <c:spPr>
            <a:solidFill>
              <a:schemeClr val="accent4"/>
            </a:solidFill>
            <a:ln>
              <a:noFill/>
            </a:ln>
            <a:effectLst/>
          </c:spPr>
          <c:invertIfNegative val="0"/>
          <c:cat>
            <c:strRef>
              <c:f>Pivot!$A$3:$A$8</c:f>
              <c:strCache>
                <c:ptCount val="5"/>
                <c:pt idx="0">
                  <c:v>2025</c:v>
                </c:pt>
                <c:pt idx="1">
                  <c:v>2026</c:v>
                </c:pt>
                <c:pt idx="2">
                  <c:v>2027</c:v>
                </c:pt>
                <c:pt idx="3">
                  <c:v>2028</c:v>
                </c:pt>
                <c:pt idx="4">
                  <c:v>2029</c:v>
                </c:pt>
              </c:strCache>
            </c:strRef>
          </c:cat>
          <c:val>
            <c:numRef>
              <c:f>Pivot!$E$3:$E$8</c:f>
              <c:numCache>
                <c:formatCode>_-* #,##0_-;\-* #,##0_-;_-* "-"??_-;_-@_-</c:formatCode>
                <c:ptCount val="5"/>
                <c:pt idx="0">
                  <c:v>12281243.682284269</c:v>
                </c:pt>
                <c:pt idx="1">
                  <c:v>18576959.593228687</c:v>
                </c:pt>
                <c:pt idx="2">
                  <c:v>41382863.55745732</c:v>
                </c:pt>
                <c:pt idx="3">
                  <c:v>59723088.59767285</c:v>
                </c:pt>
                <c:pt idx="4">
                  <c:v>64077239.376163647</c:v>
                </c:pt>
              </c:numCache>
            </c:numRef>
          </c:val>
          <c:extLst>
            <c:ext xmlns:c16="http://schemas.microsoft.com/office/drawing/2014/chart" uri="{C3380CC4-5D6E-409C-BE32-E72D297353CC}">
              <c16:uniqueId val="{00000005-C33F-43B4-87BD-CFA7565D212D}"/>
            </c:ext>
          </c:extLst>
        </c:ser>
        <c:dLbls>
          <c:showLegendKey val="0"/>
          <c:showVal val="0"/>
          <c:showCatName val="0"/>
          <c:showSerName val="0"/>
          <c:showPercent val="0"/>
          <c:showBubbleSize val="0"/>
        </c:dLbls>
        <c:gapWidth val="219"/>
        <c:overlap val="-27"/>
        <c:axId val="1175066863"/>
        <c:axId val="1678778239"/>
      </c:barChart>
      <c:catAx>
        <c:axId val="1175066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8778239"/>
        <c:crosses val="autoZero"/>
        <c:auto val="1"/>
        <c:lblAlgn val="ctr"/>
        <c:lblOffset val="100"/>
        <c:noMultiLvlLbl val="0"/>
      </c:catAx>
      <c:valAx>
        <c:axId val="1678778239"/>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066863"/>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w="25400">
          <a:noFill/>
        </a:ln>
        <a:effectLst/>
      </c:spPr>
    </c:plotArea>
    <c:legend>
      <c:legendPos val="b"/>
      <c:layout>
        <c:manualLayout>
          <c:xMode val="edge"/>
          <c:yMode val="edge"/>
          <c:x val="3.556342166083238E-2"/>
          <c:y val="0.83706749047339069"/>
          <c:w val="0.9153053121138417"/>
          <c:h val="0.12569112819392494"/>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[Sweet Bread Bakery model.xlsx]Pivot!PivotTable5</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000" b="1"/>
              <a:t>Financial</a:t>
            </a:r>
            <a:r>
              <a:rPr lang="en-GB" sz="1000" b="1" baseline="0"/>
              <a:t> Ratios</a:t>
            </a:r>
            <a:endParaRPr lang="en-GB" sz="10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Pivot!$B$42</c:f>
              <c:strCache>
                <c:ptCount val="1"/>
                <c:pt idx="0">
                  <c:v>Sum of GP Margin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Pivot!$A$43:$A$48</c:f>
              <c:strCache>
                <c:ptCount val="5"/>
                <c:pt idx="0">
                  <c:v>2025</c:v>
                </c:pt>
                <c:pt idx="1">
                  <c:v>2026</c:v>
                </c:pt>
                <c:pt idx="2">
                  <c:v>2027</c:v>
                </c:pt>
                <c:pt idx="3">
                  <c:v>2028</c:v>
                </c:pt>
                <c:pt idx="4">
                  <c:v>2029</c:v>
                </c:pt>
              </c:strCache>
            </c:strRef>
          </c:cat>
          <c:val>
            <c:numRef>
              <c:f>Pivot!$B$43:$B$48</c:f>
              <c:numCache>
                <c:formatCode>0%</c:formatCode>
                <c:ptCount val="5"/>
                <c:pt idx="0">
                  <c:v>0.64028309223829516</c:v>
                </c:pt>
                <c:pt idx="1">
                  <c:v>0.64574078098963983</c:v>
                </c:pt>
                <c:pt idx="2">
                  <c:v>0.66297952825990214</c:v>
                </c:pt>
                <c:pt idx="3">
                  <c:v>0.67287356321839076</c:v>
                </c:pt>
                <c:pt idx="4">
                  <c:v>0.68024820632150473</c:v>
                </c:pt>
              </c:numCache>
            </c:numRef>
          </c:val>
          <c:smooth val="0"/>
          <c:extLst>
            <c:ext xmlns:c16="http://schemas.microsoft.com/office/drawing/2014/chart" uri="{C3380CC4-5D6E-409C-BE32-E72D297353CC}">
              <c16:uniqueId val="{00000000-57F1-479D-80D9-43B2258A4D38}"/>
            </c:ext>
          </c:extLst>
        </c:ser>
        <c:ser>
          <c:idx val="1"/>
          <c:order val="1"/>
          <c:tx>
            <c:strRef>
              <c:f>Pivot!$C$42</c:f>
              <c:strCache>
                <c:ptCount val="1"/>
                <c:pt idx="0">
                  <c:v>Sum of NP Margin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Pivot!$A$43:$A$48</c:f>
              <c:strCache>
                <c:ptCount val="5"/>
                <c:pt idx="0">
                  <c:v>2025</c:v>
                </c:pt>
                <c:pt idx="1">
                  <c:v>2026</c:v>
                </c:pt>
                <c:pt idx="2">
                  <c:v>2027</c:v>
                </c:pt>
                <c:pt idx="3">
                  <c:v>2028</c:v>
                </c:pt>
                <c:pt idx="4">
                  <c:v>2029</c:v>
                </c:pt>
              </c:strCache>
            </c:strRef>
          </c:cat>
          <c:val>
            <c:numRef>
              <c:f>Pivot!$C$43:$C$48</c:f>
              <c:numCache>
                <c:formatCode>0%</c:formatCode>
                <c:ptCount val="5"/>
                <c:pt idx="0">
                  <c:v>8.2911819937303066E-2</c:v>
                </c:pt>
                <c:pt idx="1">
                  <c:v>0.1168284646832807</c:v>
                </c:pt>
                <c:pt idx="2">
                  <c:v>0.19983658553542705</c:v>
                </c:pt>
                <c:pt idx="3">
                  <c:v>0.23835843150412217</c:v>
                </c:pt>
                <c:pt idx="4">
                  <c:v>0.21571690372364574</c:v>
                </c:pt>
              </c:numCache>
            </c:numRef>
          </c:val>
          <c:smooth val="0"/>
          <c:extLst>
            <c:ext xmlns:c16="http://schemas.microsoft.com/office/drawing/2014/chart" uri="{C3380CC4-5D6E-409C-BE32-E72D297353CC}">
              <c16:uniqueId val="{00000001-57F1-479D-80D9-43B2258A4D38}"/>
            </c:ext>
          </c:extLst>
        </c:ser>
        <c:ser>
          <c:idx val="2"/>
          <c:order val="2"/>
          <c:tx>
            <c:strRef>
              <c:f>Pivot!$D$42</c:f>
              <c:strCache>
                <c:ptCount val="1"/>
                <c:pt idx="0">
                  <c:v>Sum of ROCE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Pivot!$A$43:$A$48</c:f>
              <c:strCache>
                <c:ptCount val="5"/>
                <c:pt idx="0">
                  <c:v>2025</c:v>
                </c:pt>
                <c:pt idx="1">
                  <c:v>2026</c:v>
                </c:pt>
                <c:pt idx="2">
                  <c:v>2027</c:v>
                </c:pt>
                <c:pt idx="3">
                  <c:v>2028</c:v>
                </c:pt>
                <c:pt idx="4">
                  <c:v>2029</c:v>
                </c:pt>
              </c:strCache>
            </c:strRef>
          </c:cat>
          <c:val>
            <c:numRef>
              <c:f>Pivot!$D$43:$D$48</c:f>
              <c:numCache>
                <c:formatCode>0%</c:formatCode>
                <c:ptCount val="5"/>
                <c:pt idx="0">
                  <c:v>0.15305577919858546</c:v>
                </c:pt>
                <c:pt idx="1">
                  <c:v>0.19533745698722593</c:v>
                </c:pt>
                <c:pt idx="2">
                  <c:v>0.32277867280244998</c:v>
                </c:pt>
                <c:pt idx="3">
                  <c:v>0.33936148599854138</c:v>
                </c:pt>
                <c:pt idx="4">
                  <c:v>0.28196999283592605</c:v>
                </c:pt>
              </c:numCache>
            </c:numRef>
          </c:val>
          <c:smooth val="0"/>
          <c:extLst>
            <c:ext xmlns:c16="http://schemas.microsoft.com/office/drawing/2014/chart" uri="{C3380CC4-5D6E-409C-BE32-E72D297353CC}">
              <c16:uniqueId val="{00000002-57F1-479D-80D9-43B2258A4D38}"/>
            </c:ext>
          </c:extLst>
        </c:ser>
        <c:dLbls>
          <c:showLegendKey val="0"/>
          <c:showVal val="0"/>
          <c:showCatName val="0"/>
          <c:showSerName val="0"/>
          <c:showPercent val="0"/>
          <c:showBubbleSize val="0"/>
        </c:dLbls>
        <c:marker val="1"/>
        <c:smooth val="0"/>
        <c:axId val="1701317135"/>
        <c:axId val="1701320495"/>
      </c:lineChart>
      <c:catAx>
        <c:axId val="1701317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1320495"/>
        <c:crosses val="autoZero"/>
        <c:auto val="1"/>
        <c:lblAlgn val="ctr"/>
        <c:lblOffset val="100"/>
        <c:noMultiLvlLbl val="0"/>
      </c:catAx>
      <c:valAx>
        <c:axId val="170132049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13171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[Sweet Bread Bakery model.xlsx]Pivot!PivotTable2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Opex</a:t>
            </a:r>
            <a:r>
              <a:rPr lang="en-GB" b="1" baseline="0"/>
              <a:t> Items</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Pivot!$B$13:$B$14</c:f>
              <c:strCache>
                <c:ptCount val="1"/>
                <c:pt idx="0">
                  <c:v>Dep &amp; Amort.</c:v>
                </c:pt>
              </c:strCache>
            </c:strRef>
          </c:tx>
          <c:spPr>
            <a:solidFill>
              <a:schemeClr val="accent1"/>
            </a:solidFill>
            <a:ln>
              <a:noFill/>
            </a:ln>
            <a:effectLst/>
          </c:spPr>
          <c:invertIfNegative val="0"/>
          <c:cat>
            <c:strRef>
              <c:f>Pivot!$A$15:$A$20</c:f>
              <c:strCache>
                <c:ptCount val="5"/>
                <c:pt idx="0">
                  <c:v>2025</c:v>
                </c:pt>
                <c:pt idx="1">
                  <c:v>2026</c:v>
                </c:pt>
                <c:pt idx="2">
                  <c:v>2027</c:v>
                </c:pt>
                <c:pt idx="3">
                  <c:v>2028</c:v>
                </c:pt>
                <c:pt idx="4">
                  <c:v>2029</c:v>
                </c:pt>
              </c:strCache>
            </c:strRef>
          </c:cat>
          <c:val>
            <c:numRef>
              <c:f>Pivot!$B$15:$B$20</c:f>
              <c:numCache>
                <c:formatCode>_-* #,##0_-;\-* #,##0_-;_-* "-"??_-;_-@_-</c:formatCode>
                <c:ptCount val="5"/>
                <c:pt idx="0">
                  <c:v>8595000</c:v>
                </c:pt>
                <c:pt idx="1">
                  <c:v>8595000</c:v>
                </c:pt>
                <c:pt idx="2">
                  <c:v>8595000</c:v>
                </c:pt>
                <c:pt idx="3">
                  <c:v>10395000</c:v>
                </c:pt>
                <c:pt idx="4">
                  <c:v>13520000</c:v>
                </c:pt>
              </c:numCache>
            </c:numRef>
          </c:val>
          <c:extLst>
            <c:ext xmlns:c16="http://schemas.microsoft.com/office/drawing/2014/chart" uri="{C3380CC4-5D6E-409C-BE32-E72D297353CC}">
              <c16:uniqueId val="{00000000-14AD-4C89-8BE2-95BB6CC97136}"/>
            </c:ext>
          </c:extLst>
        </c:ser>
        <c:ser>
          <c:idx val="1"/>
          <c:order val="1"/>
          <c:tx>
            <c:strRef>
              <c:f>Pivot!$C$13:$C$14</c:f>
              <c:strCache>
                <c:ptCount val="1"/>
                <c:pt idx="0">
                  <c:v>Employee cost</c:v>
                </c:pt>
              </c:strCache>
            </c:strRef>
          </c:tx>
          <c:spPr>
            <a:solidFill>
              <a:schemeClr val="accent2"/>
            </a:solidFill>
            <a:ln>
              <a:noFill/>
            </a:ln>
            <a:effectLst/>
          </c:spPr>
          <c:invertIfNegative val="0"/>
          <c:cat>
            <c:strRef>
              <c:f>Pivot!$A$15:$A$20</c:f>
              <c:strCache>
                <c:ptCount val="5"/>
                <c:pt idx="0">
                  <c:v>2025</c:v>
                </c:pt>
                <c:pt idx="1">
                  <c:v>2026</c:v>
                </c:pt>
                <c:pt idx="2">
                  <c:v>2027</c:v>
                </c:pt>
                <c:pt idx="3">
                  <c:v>2028</c:v>
                </c:pt>
                <c:pt idx="4">
                  <c:v>2029</c:v>
                </c:pt>
              </c:strCache>
            </c:strRef>
          </c:cat>
          <c:val>
            <c:numRef>
              <c:f>Pivot!$C$15:$C$20</c:f>
              <c:numCache>
                <c:formatCode>_-* #,##0_-;\-* #,##0_-;_-* "-"??_-;_-@_-</c:formatCode>
                <c:ptCount val="5"/>
                <c:pt idx="0">
                  <c:v>46800000</c:v>
                </c:pt>
                <c:pt idx="1">
                  <c:v>46800000</c:v>
                </c:pt>
                <c:pt idx="2">
                  <c:v>46800000</c:v>
                </c:pt>
                <c:pt idx="3">
                  <c:v>46800000</c:v>
                </c:pt>
                <c:pt idx="4">
                  <c:v>46800000</c:v>
                </c:pt>
              </c:numCache>
            </c:numRef>
          </c:val>
          <c:extLst>
            <c:ext xmlns:c16="http://schemas.microsoft.com/office/drawing/2014/chart" uri="{C3380CC4-5D6E-409C-BE32-E72D297353CC}">
              <c16:uniqueId val="{00000001-14AD-4C89-8BE2-95BB6CC97136}"/>
            </c:ext>
          </c:extLst>
        </c:ser>
        <c:ser>
          <c:idx val="2"/>
          <c:order val="2"/>
          <c:tx>
            <c:strRef>
              <c:f>Pivot!$D$13:$D$14</c:f>
              <c:strCache>
                <c:ptCount val="1"/>
                <c:pt idx="0">
                  <c:v>Other Expenses</c:v>
                </c:pt>
              </c:strCache>
            </c:strRef>
          </c:tx>
          <c:spPr>
            <a:solidFill>
              <a:schemeClr val="accent3"/>
            </a:solidFill>
            <a:ln>
              <a:noFill/>
            </a:ln>
            <a:effectLst/>
          </c:spPr>
          <c:invertIfNegative val="0"/>
          <c:cat>
            <c:strRef>
              <c:f>Pivot!$A$15:$A$20</c:f>
              <c:strCache>
                <c:ptCount val="5"/>
                <c:pt idx="0">
                  <c:v>2025</c:v>
                </c:pt>
                <c:pt idx="1">
                  <c:v>2026</c:v>
                </c:pt>
                <c:pt idx="2">
                  <c:v>2027</c:v>
                </c:pt>
                <c:pt idx="3">
                  <c:v>2028</c:v>
                </c:pt>
                <c:pt idx="4">
                  <c:v>2029</c:v>
                </c:pt>
              </c:strCache>
            </c:strRef>
          </c:cat>
          <c:val>
            <c:numRef>
              <c:f>Pivot!$D$15:$D$20</c:f>
              <c:numCache>
                <c:formatCode>_-* #,##0_-;\-* #,##0_-;_-* "-"??_-;_-@_-</c:formatCode>
                <c:ptCount val="5"/>
                <c:pt idx="0">
                  <c:v>15490483.199999999</c:v>
                </c:pt>
                <c:pt idx="1">
                  <c:v>14296211.199999999</c:v>
                </c:pt>
                <c:pt idx="2">
                  <c:v>15401670.4</c:v>
                </c:pt>
                <c:pt idx="3">
                  <c:v>17999200</c:v>
                </c:pt>
                <c:pt idx="4">
                  <c:v>18928864</c:v>
                </c:pt>
              </c:numCache>
            </c:numRef>
          </c:val>
          <c:extLst>
            <c:ext xmlns:c16="http://schemas.microsoft.com/office/drawing/2014/chart" uri="{C3380CC4-5D6E-409C-BE32-E72D297353CC}">
              <c16:uniqueId val="{00000002-14AD-4C89-8BE2-95BB6CC97136}"/>
            </c:ext>
          </c:extLst>
        </c:ser>
        <c:dLbls>
          <c:showLegendKey val="0"/>
          <c:showVal val="0"/>
          <c:showCatName val="0"/>
          <c:showSerName val="0"/>
          <c:showPercent val="0"/>
          <c:showBubbleSize val="0"/>
        </c:dLbls>
        <c:gapWidth val="150"/>
        <c:overlap val="100"/>
        <c:axId val="1849289727"/>
        <c:axId val="1849292127"/>
      </c:barChart>
      <c:catAx>
        <c:axId val="1849289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292127"/>
        <c:crosses val="autoZero"/>
        <c:auto val="1"/>
        <c:lblAlgn val="ctr"/>
        <c:lblOffset val="100"/>
        <c:noMultiLvlLbl val="0"/>
      </c:catAx>
      <c:valAx>
        <c:axId val="184929212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289727"/>
        <c:crosses val="autoZero"/>
        <c:crossBetween val="between"/>
        <c:majorUnit val="0.2"/>
      </c:valAx>
      <c:spPr>
        <a:noFill/>
        <a:ln>
          <a:noFill/>
        </a:ln>
        <a:effectLst/>
      </c:spPr>
    </c:plotArea>
    <c:legend>
      <c:legendPos val="b"/>
      <c:layout>
        <c:manualLayout>
          <c:xMode val="edge"/>
          <c:yMode val="edge"/>
          <c:x val="0.1788630796150481"/>
          <c:y val="0.88340660542432192"/>
          <c:w val="0.73116272965879259"/>
          <c:h val="9.8074876057159546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[Sweet Bread Bakery model.xlsx]Pivot!PivotTable3</c:name>
    <c:fmtId val="3"/>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Opex</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Pivot!$B$24</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0DC0-4D31-B780-88CAEE738B66}"/>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0DC0-4D31-B780-88CAEE738B66}"/>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0DC0-4D31-B780-88CAEE738B6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Pivot!$A$25:$A$28</c:f>
              <c:strCache>
                <c:ptCount val="3"/>
                <c:pt idx="0">
                  <c:v>Dep &amp; Amort.</c:v>
                </c:pt>
                <c:pt idx="1">
                  <c:v>Employee cost</c:v>
                </c:pt>
                <c:pt idx="2">
                  <c:v>Other Expenses</c:v>
                </c:pt>
              </c:strCache>
            </c:strRef>
          </c:cat>
          <c:val>
            <c:numRef>
              <c:f>Pivot!$B$25:$B$28</c:f>
              <c:numCache>
                <c:formatCode>_-* #,##0_-;\-* #,##0_-;_-* "-"??_-;_-@_-</c:formatCode>
                <c:ptCount val="3"/>
                <c:pt idx="0">
                  <c:v>49700000</c:v>
                </c:pt>
                <c:pt idx="1">
                  <c:v>234000000</c:v>
                </c:pt>
                <c:pt idx="2">
                  <c:v>82116428.800000012</c:v>
                </c:pt>
              </c:numCache>
            </c:numRef>
          </c:val>
          <c:extLst>
            <c:ext xmlns:c16="http://schemas.microsoft.com/office/drawing/2014/chart" uri="{C3380CC4-5D6E-409C-BE32-E72D297353CC}">
              <c16:uniqueId val="{00000006-0DC0-4D31-B780-88CAEE738B66}"/>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Lines="3" dropStyle="combo" dx="31" fmlaLink="Assumption!$E$2" fmlaRange="Assumption!$D$21:$D$23" sel="1" val="0"/>
</file>

<file path=xl/ctrlProps/ctrlProp2.xml><?xml version="1.0" encoding="utf-8"?>
<formControlPr xmlns="http://schemas.microsoft.com/office/spreadsheetml/2009/9/main" objectType="Drop" dropLines="3" dropStyle="combo" dx="31" fmlaLink="Assumption!$E$2" fmlaRange="Assumption!$D$21:$D$23" sel="1" val="0"/>
</file>

<file path=xl/ctrlProps/ctrlProp3.xml><?xml version="1.0" encoding="utf-8"?>
<formControlPr xmlns="http://schemas.microsoft.com/office/spreadsheetml/2009/9/main" objectType="Drop" dropLines="3" dropStyle="combo" dx="31" fmlaLink="Assumption!$E$2" fmlaRange="Assumption!$D$21:$D$23" sel="1" val="0"/>
</file>

<file path=xl/ctrlProps/ctrlProp4.xml><?xml version="1.0" encoding="utf-8"?>
<formControlPr xmlns="http://schemas.microsoft.com/office/spreadsheetml/2009/9/main" objectType="Drop" dropLines="3" dropStyle="combo" dx="31" fmlaLink="Assumption!$E$2" fmlaRange="Assumption!$D$21:$D$23" sel="1" val="0"/>
</file>

<file path=xl/ctrlProps/ctrlProp5.xml><?xml version="1.0" encoding="utf-8"?>
<formControlPr xmlns="http://schemas.microsoft.com/office/spreadsheetml/2009/9/main" objectType="Drop" dropLines="3" dropStyle="combo" dx="31" fmlaLink="Assumption!$E$2" fmlaRange="Assumption!$D$21:$D$23" sel="1" val="0"/>
</file>

<file path=xl/ctrlProps/ctrlProp6.xml><?xml version="1.0" encoding="utf-8"?>
<formControlPr xmlns="http://schemas.microsoft.com/office/spreadsheetml/2009/9/main" objectType="Drop" dropLines="3" dropStyle="combo" dx="31" fmlaLink="Assumption!$E$2" fmlaRange="Assumption!$D$21:$D$23" sel="1" val="0"/>
</file>

<file path=xl/ctrlProps/ctrlProp7.xml><?xml version="1.0" encoding="utf-8"?>
<formControlPr xmlns="http://schemas.microsoft.com/office/spreadsheetml/2009/9/main" objectType="Drop" dropLines="3" dropStyle="combo" dx="31" fmlaLink="Assumption!$E$2" fmlaRange="Assumption!$D$21:$D$23" sel="1" val="0"/>
</file>

<file path=xl/ctrlProps/ctrlProp8.xml><?xml version="1.0" encoding="utf-8"?>
<formControlPr xmlns="http://schemas.microsoft.com/office/spreadsheetml/2009/9/main" objectType="Drop" dropLines="3" dropStyle="combo" dx="31" fmlaLink="Assumption!$E$2" fmlaRange="Assumption!$D$21:$D$23" sel="1" val="0"/>
</file>

<file path=xl/ctrlProps/ctrlProp9.xml><?xml version="1.0" encoding="utf-8"?>
<formControlPr xmlns="http://schemas.microsoft.com/office/spreadsheetml/2009/9/main" objectType="Drop" dropLines="3" dropStyle="combo" dx="31" fmlaLink="Assumption!$E$2" fmlaRange="Assumption!$D$21:$D$23" sel="1" val="0"/>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260350</xdr:colOff>
      <xdr:row>1</xdr:row>
      <xdr:rowOff>101600</xdr:rowOff>
    </xdr:from>
    <xdr:to>
      <xdr:col>18</xdr:col>
      <xdr:colOff>457200</xdr:colOff>
      <xdr:row>31</xdr:row>
      <xdr:rowOff>165100</xdr:rowOff>
    </xdr:to>
    <xdr:sp macro="" textlink="">
      <xdr:nvSpPr>
        <xdr:cNvPr id="2" name="Rectangle 1">
          <a:extLst>
            <a:ext uri="{FF2B5EF4-FFF2-40B4-BE49-F238E27FC236}">
              <a16:creationId xmlns:a16="http://schemas.microsoft.com/office/drawing/2014/main" id="{BFC50ED5-FBEB-3CD6-D883-83E8588B2D98}"/>
            </a:ext>
          </a:extLst>
        </xdr:cNvPr>
        <xdr:cNvSpPr/>
      </xdr:nvSpPr>
      <xdr:spPr>
        <a:xfrm>
          <a:off x="869950" y="285750"/>
          <a:ext cx="10560050" cy="5588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9</xdr:col>
      <xdr:colOff>228600</xdr:colOff>
      <xdr:row>1</xdr:row>
      <xdr:rowOff>120650</xdr:rowOff>
    </xdr:from>
    <xdr:to>
      <xdr:col>18</xdr:col>
      <xdr:colOff>457200</xdr:colOff>
      <xdr:row>31</xdr:row>
      <xdr:rowOff>146050</xdr:rowOff>
    </xdr:to>
    <xdr:pic>
      <xdr:nvPicPr>
        <xdr:cNvPr id="5" name="Picture 4">
          <a:extLst>
            <a:ext uri="{FF2B5EF4-FFF2-40B4-BE49-F238E27FC236}">
              <a16:creationId xmlns:a16="http://schemas.microsoft.com/office/drawing/2014/main" id="{EB06BBA1-98AA-4948-8FBB-E90CBEF8335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15000" y="304800"/>
          <a:ext cx="5715000" cy="5549900"/>
        </a:xfrm>
        <a:prstGeom prst="rect">
          <a:avLst/>
        </a:prstGeom>
      </xdr:spPr>
    </xdr:pic>
    <xdr:clientData/>
  </xdr:twoCellAnchor>
  <xdr:twoCellAnchor>
    <xdr:from>
      <xdr:col>1</xdr:col>
      <xdr:colOff>412750</xdr:colOff>
      <xdr:row>2</xdr:row>
      <xdr:rowOff>57150</xdr:rowOff>
    </xdr:from>
    <xdr:to>
      <xdr:col>8</xdr:col>
      <xdr:colOff>133350</xdr:colOff>
      <xdr:row>8</xdr:row>
      <xdr:rowOff>139700</xdr:rowOff>
    </xdr:to>
    <xdr:sp macro="" textlink="">
      <xdr:nvSpPr>
        <xdr:cNvPr id="6" name="Rectangle 5">
          <a:extLst>
            <a:ext uri="{FF2B5EF4-FFF2-40B4-BE49-F238E27FC236}">
              <a16:creationId xmlns:a16="http://schemas.microsoft.com/office/drawing/2014/main" id="{3F2DAF2B-D075-CFCF-1798-B762D7C2BE13}"/>
            </a:ext>
          </a:extLst>
        </xdr:cNvPr>
        <xdr:cNvSpPr/>
      </xdr:nvSpPr>
      <xdr:spPr>
        <a:xfrm>
          <a:off x="1022350" y="425450"/>
          <a:ext cx="3987800" cy="1187450"/>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3200"/>
            <a:t>Sweet Bread Bakery Ltd</a:t>
          </a:r>
        </a:p>
        <a:p>
          <a:pPr algn="l"/>
          <a:endParaRPr lang="en-GB" sz="1100"/>
        </a:p>
        <a:p>
          <a:pPr algn="l"/>
          <a:r>
            <a:rPr lang="en-GB" sz="1400" i="1"/>
            <a:t>Home of tasty &amp; delicious bread....</a:t>
          </a:r>
        </a:p>
      </xdr:txBody>
    </xdr:sp>
    <xdr:clientData/>
  </xdr:twoCellAnchor>
  <xdr:twoCellAnchor>
    <xdr:from>
      <xdr:col>1</xdr:col>
      <xdr:colOff>425450</xdr:colOff>
      <xdr:row>18</xdr:row>
      <xdr:rowOff>44450</xdr:rowOff>
    </xdr:from>
    <xdr:to>
      <xdr:col>9</xdr:col>
      <xdr:colOff>114300</xdr:colOff>
      <xdr:row>30</xdr:row>
      <xdr:rowOff>0</xdr:rowOff>
    </xdr:to>
    <xdr:sp macro="" textlink="">
      <xdr:nvSpPr>
        <xdr:cNvPr id="7" name="Rectangle 6">
          <a:extLst>
            <a:ext uri="{FF2B5EF4-FFF2-40B4-BE49-F238E27FC236}">
              <a16:creationId xmlns:a16="http://schemas.microsoft.com/office/drawing/2014/main" id="{4D4925DE-F150-D6A1-96F2-5865DE39BA3E}"/>
            </a:ext>
          </a:extLst>
        </xdr:cNvPr>
        <xdr:cNvSpPr/>
      </xdr:nvSpPr>
      <xdr:spPr>
        <a:xfrm>
          <a:off x="1035050" y="3359150"/>
          <a:ext cx="4565650" cy="2165350"/>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800"/>
            <a:t>Five year Financial model</a:t>
          </a:r>
        </a:p>
        <a:p>
          <a:pPr algn="l"/>
          <a:r>
            <a:rPr lang="en-GB" sz="2800"/>
            <a:t>2025.</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177801</xdr:colOff>
      <xdr:row>2</xdr:row>
      <xdr:rowOff>31750</xdr:rowOff>
    </xdr:from>
    <xdr:to>
      <xdr:col>9</xdr:col>
      <xdr:colOff>192313</xdr:colOff>
      <xdr:row>7</xdr:row>
      <xdr:rowOff>25400</xdr:rowOff>
    </xdr:to>
    <xdr:pic>
      <xdr:nvPicPr>
        <xdr:cNvPr id="4" name="Picture 3">
          <a:extLst>
            <a:ext uri="{FF2B5EF4-FFF2-40B4-BE49-F238E27FC236}">
              <a16:creationId xmlns:a16="http://schemas.microsoft.com/office/drawing/2014/main" id="{035F112E-7738-CE64-83E0-C966D905C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78801" y="406400"/>
          <a:ext cx="1983012" cy="102870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xdr:col>
          <xdr:colOff>838200</xdr:colOff>
          <xdr:row>0</xdr:row>
          <xdr:rowOff>107950</xdr:rowOff>
        </xdr:from>
        <xdr:to>
          <xdr:col>2</xdr:col>
          <xdr:colOff>831850</xdr:colOff>
          <xdr:row>1</xdr:row>
          <xdr:rowOff>95250</xdr:rowOff>
        </xdr:to>
        <xdr:sp macro="" textlink="">
          <xdr:nvSpPr>
            <xdr:cNvPr id="3073" name="Drop Down 1" hidden="1">
              <a:extLst>
                <a:ext uri="{63B3BB69-23CF-44E3-9099-C40C66FF867C}">
                  <a14:compatExt spid="_x0000_s3073"/>
                </a:ext>
                <a:ext uri="{FF2B5EF4-FFF2-40B4-BE49-F238E27FC236}">
                  <a16:creationId xmlns:a16="http://schemas.microsoft.com/office/drawing/2014/main" id="{8A9E7567-E8D3-84BA-6BFE-511C3188B48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xdr:col>
      <xdr:colOff>203200</xdr:colOff>
      <xdr:row>2</xdr:row>
      <xdr:rowOff>50800</xdr:rowOff>
    </xdr:from>
    <xdr:to>
      <xdr:col>16</xdr:col>
      <xdr:colOff>374650</xdr:colOff>
      <xdr:row>31</xdr:row>
      <xdr:rowOff>101600</xdr:rowOff>
    </xdr:to>
    <xdr:sp macro="" textlink="">
      <xdr:nvSpPr>
        <xdr:cNvPr id="2" name="Rectangle 1">
          <a:extLst>
            <a:ext uri="{FF2B5EF4-FFF2-40B4-BE49-F238E27FC236}">
              <a16:creationId xmlns:a16="http://schemas.microsoft.com/office/drawing/2014/main" id="{F68D8F44-20A9-2602-E841-32DC3E670602}"/>
            </a:ext>
          </a:extLst>
        </xdr:cNvPr>
        <xdr:cNvSpPr/>
      </xdr:nvSpPr>
      <xdr:spPr>
        <a:xfrm>
          <a:off x="812800" y="419100"/>
          <a:ext cx="9315450" cy="5568950"/>
        </a:xfrm>
        <a:prstGeom prst="rect">
          <a:avLst/>
        </a:prstGeom>
        <a:solidFill>
          <a:schemeClr val="bg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431800</xdr:colOff>
      <xdr:row>2</xdr:row>
      <xdr:rowOff>266700</xdr:rowOff>
    </xdr:from>
    <xdr:to>
      <xdr:col>16</xdr:col>
      <xdr:colOff>152400</xdr:colOff>
      <xdr:row>6</xdr:row>
      <xdr:rowOff>95250</xdr:rowOff>
    </xdr:to>
    <xdr:sp macro="" textlink="">
      <xdr:nvSpPr>
        <xdr:cNvPr id="3" name="Rectangle 2">
          <a:extLst>
            <a:ext uri="{FF2B5EF4-FFF2-40B4-BE49-F238E27FC236}">
              <a16:creationId xmlns:a16="http://schemas.microsoft.com/office/drawing/2014/main" id="{5BEF75A7-4A29-A472-1C43-4EBA836B380A}"/>
            </a:ext>
          </a:extLst>
        </xdr:cNvPr>
        <xdr:cNvSpPr/>
      </xdr:nvSpPr>
      <xdr:spPr>
        <a:xfrm>
          <a:off x="1041400" y="635000"/>
          <a:ext cx="8864600" cy="742950"/>
        </a:xfrm>
        <a:prstGeom prst="rect">
          <a:avLst/>
        </a:prstGeom>
        <a:solidFill>
          <a:schemeClr val="accent4">
            <a:lumMod val="50000"/>
          </a:schemeClr>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r>
            <a:rPr lang="en-GB" sz="1400" b="1">
              <a:solidFill>
                <a:schemeClr val="bg1"/>
              </a:solidFill>
              <a:effectLst/>
              <a:latin typeface="+mn-lt"/>
              <a:ea typeface="+mn-ea"/>
              <a:cs typeface="+mn-cs"/>
            </a:rPr>
            <a:t>Sweet Bread Bakery Ltd</a:t>
          </a:r>
          <a:endParaRPr lang="en-GB" sz="1400" b="1">
            <a:solidFill>
              <a:schemeClr val="bg1"/>
            </a:solidFill>
            <a:effectLst/>
          </a:endParaRPr>
        </a:p>
        <a:p>
          <a:r>
            <a:rPr lang="en-GB" sz="900" i="1">
              <a:solidFill>
                <a:schemeClr val="bg1"/>
              </a:solidFill>
              <a:effectLst/>
              <a:latin typeface="+mn-lt"/>
              <a:ea typeface="+mn-ea"/>
              <a:cs typeface="+mn-cs"/>
            </a:rPr>
            <a:t>Home of tasty &amp; delicious bread....</a:t>
          </a:r>
          <a:endParaRPr lang="en-GB" sz="900">
            <a:solidFill>
              <a:schemeClr val="bg1"/>
            </a:solidFill>
            <a:effectLst/>
          </a:endParaRPr>
        </a:p>
        <a:p>
          <a:pPr algn="l"/>
          <a:endParaRPr lang="en-GB" sz="1100"/>
        </a:p>
      </xdr:txBody>
    </xdr:sp>
    <xdr:clientData/>
  </xdr:twoCellAnchor>
  <xdr:twoCellAnchor>
    <xdr:from>
      <xdr:col>12</xdr:col>
      <xdr:colOff>361950</xdr:colOff>
      <xdr:row>3</xdr:row>
      <xdr:rowOff>6350</xdr:rowOff>
    </xdr:from>
    <xdr:to>
      <xdr:col>15</xdr:col>
      <xdr:colOff>450850</xdr:colOff>
      <xdr:row>5</xdr:row>
      <xdr:rowOff>31750</xdr:rowOff>
    </xdr:to>
    <xdr:sp macro="" textlink="">
      <xdr:nvSpPr>
        <xdr:cNvPr id="4" name="Rectangle 3">
          <a:extLst>
            <a:ext uri="{FF2B5EF4-FFF2-40B4-BE49-F238E27FC236}">
              <a16:creationId xmlns:a16="http://schemas.microsoft.com/office/drawing/2014/main" id="{E7A46505-94C7-D185-F3E8-62A04BF60647}"/>
            </a:ext>
          </a:extLst>
        </xdr:cNvPr>
        <xdr:cNvSpPr/>
      </xdr:nvSpPr>
      <xdr:spPr>
        <a:xfrm>
          <a:off x="7677150" y="736600"/>
          <a:ext cx="1917700" cy="393700"/>
        </a:xfrm>
        <a:prstGeom prst="rect">
          <a:avLst/>
        </a:prstGeom>
        <a:solidFill>
          <a:schemeClr val="accent4">
            <a:lumMod val="50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lang="en-GB" sz="1100">
              <a:solidFill>
                <a:schemeClr val="bg1"/>
              </a:solidFill>
            </a:rPr>
            <a:t>5 year Financial model</a:t>
          </a:r>
        </a:p>
      </xdr:txBody>
    </xdr:sp>
    <xdr:clientData/>
  </xdr:twoCellAnchor>
  <mc:AlternateContent xmlns:mc="http://schemas.openxmlformats.org/markup-compatibility/2006">
    <mc:Choice xmlns:a14="http://schemas.microsoft.com/office/drawing/2010/main" Requires="a14">
      <xdr:twoCellAnchor editAs="oneCell">
        <xdr:from>
          <xdr:col>6</xdr:col>
          <xdr:colOff>177800</xdr:colOff>
          <xdr:row>3</xdr:row>
          <xdr:rowOff>107950</xdr:rowOff>
        </xdr:from>
        <xdr:to>
          <xdr:col>8</xdr:col>
          <xdr:colOff>158750</xdr:colOff>
          <xdr:row>5</xdr:row>
          <xdr:rowOff>88900</xdr:rowOff>
        </xdr:to>
        <xdr:sp macro="" textlink="">
          <xdr:nvSpPr>
            <xdr:cNvPr id="5121" name="Drop Down 1" hidden="1">
              <a:extLst>
                <a:ext uri="{63B3BB69-23CF-44E3-9099-C40C66FF867C}">
                  <a14:compatExt spid="_x0000_s5121"/>
                </a:ext>
                <a:ext uri="{FF2B5EF4-FFF2-40B4-BE49-F238E27FC236}">
                  <a16:creationId xmlns:a16="http://schemas.microsoft.com/office/drawing/2014/main" id="{B1A1D26D-3864-1DE3-151D-CA531E38172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2</xdr:col>
      <xdr:colOff>6350</xdr:colOff>
      <xdr:row>8</xdr:row>
      <xdr:rowOff>19050</xdr:rowOff>
    </xdr:from>
    <xdr:to>
      <xdr:col>4</xdr:col>
      <xdr:colOff>317500</xdr:colOff>
      <xdr:row>30</xdr:row>
      <xdr:rowOff>171450</xdr:rowOff>
    </xdr:to>
    <xdr:sp macro="" textlink="">
      <xdr:nvSpPr>
        <xdr:cNvPr id="5" name="Rectangle 4">
          <a:extLst>
            <a:ext uri="{FF2B5EF4-FFF2-40B4-BE49-F238E27FC236}">
              <a16:creationId xmlns:a16="http://schemas.microsoft.com/office/drawing/2014/main" id="{55534082-2E88-3691-852A-B13D20EED239}"/>
            </a:ext>
          </a:extLst>
        </xdr:cNvPr>
        <xdr:cNvSpPr/>
      </xdr:nvSpPr>
      <xdr:spPr>
        <a:xfrm>
          <a:off x="1225550" y="1670050"/>
          <a:ext cx="1530350" cy="42037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63500</xdr:colOff>
      <xdr:row>9</xdr:row>
      <xdr:rowOff>127000</xdr:rowOff>
    </xdr:from>
    <xdr:to>
      <xdr:col>9</xdr:col>
      <xdr:colOff>239888</xdr:colOff>
      <xdr:row>18</xdr:row>
      <xdr:rowOff>28222</xdr:rowOff>
    </xdr:to>
    <xdr:sp macro="" textlink="">
      <xdr:nvSpPr>
        <xdr:cNvPr id="6" name="Rectangle 5">
          <a:extLst>
            <a:ext uri="{FF2B5EF4-FFF2-40B4-BE49-F238E27FC236}">
              <a16:creationId xmlns:a16="http://schemas.microsoft.com/office/drawing/2014/main" id="{9323FA96-F161-A825-78D9-C1BEECB98611}"/>
            </a:ext>
          </a:extLst>
        </xdr:cNvPr>
        <xdr:cNvSpPr/>
      </xdr:nvSpPr>
      <xdr:spPr>
        <a:xfrm>
          <a:off x="3097389" y="1954389"/>
          <a:ext cx="2603499" cy="155222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437444</xdr:colOff>
      <xdr:row>19</xdr:row>
      <xdr:rowOff>112889</xdr:rowOff>
    </xdr:from>
    <xdr:to>
      <xdr:col>14</xdr:col>
      <xdr:colOff>279400</xdr:colOff>
      <xdr:row>30</xdr:row>
      <xdr:rowOff>165100</xdr:rowOff>
    </xdr:to>
    <xdr:sp macro="" textlink="">
      <xdr:nvSpPr>
        <xdr:cNvPr id="7" name="Rectangle 6">
          <a:extLst>
            <a:ext uri="{FF2B5EF4-FFF2-40B4-BE49-F238E27FC236}">
              <a16:creationId xmlns:a16="http://schemas.microsoft.com/office/drawing/2014/main" id="{5B79428A-0ECA-D0A9-2762-E749FE18E5D2}"/>
            </a:ext>
          </a:extLst>
        </xdr:cNvPr>
        <xdr:cNvSpPr/>
      </xdr:nvSpPr>
      <xdr:spPr>
        <a:xfrm>
          <a:off x="5923844" y="3789539"/>
          <a:ext cx="2889956" cy="207786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472722</xdr:colOff>
      <xdr:row>19</xdr:row>
      <xdr:rowOff>134056</xdr:rowOff>
    </xdr:from>
    <xdr:to>
      <xdr:col>9</xdr:col>
      <xdr:colOff>324556</xdr:colOff>
      <xdr:row>27</xdr:row>
      <xdr:rowOff>105833</xdr:rowOff>
    </xdr:to>
    <xdr:sp macro="" textlink="">
      <xdr:nvSpPr>
        <xdr:cNvPr id="8" name="Rectangle 7">
          <a:extLst>
            <a:ext uri="{FF2B5EF4-FFF2-40B4-BE49-F238E27FC236}">
              <a16:creationId xmlns:a16="http://schemas.microsoft.com/office/drawing/2014/main" id="{543F2B8E-80BE-D5E8-8F46-5263F57EDE07}"/>
            </a:ext>
          </a:extLst>
        </xdr:cNvPr>
        <xdr:cNvSpPr/>
      </xdr:nvSpPr>
      <xdr:spPr>
        <a:xfrm>
          <a:off x="2899833" y="3795889"/>
          <a:ext cx="2885723" cy="143933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444500</xdr:colOff>
      <xdr:row>8</xdr:row>
      <xdr:rowOff>42335</xdr:rowOff>
    </xdr:from>
    <xdr:to>
      <xdr:col>16</xdr:col>
      <xdr:colOff>35278</xdr:colOff>
      <xdr:row>19</xdr:row>
      <xdr:rowOff>7056</xdr:rowOff>
    </xdr:to>
    <xdr:sp macro="" textlink="">
      <xdr:nvSpPr>
        <xdr:cNvPr id="9" name="Rectangle 8">
          <a:extLst>
            <a:ext uri="{FF2B5EF4-FFF2-40B4-BE49-F238E27FC236}">
              <a16:creationId xmlns:a16="http://schemas.microsoft.com/office/drawing/2014/main" id="{60B9B416-425B-195C-0723-D63353764672}"/>
            </a:ext>
          </a:extLst>
        </xdr:cNvPr>
        <xdr:cNvSpPr/>
      </xdr:nvSpPr>
      <xdr:spPr>
        <a:xfrm>
          <a:off x="5905500" y="1686279"/>
          <a:ext cx="3838222" cy="198261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396522</xdr:colOff>
      <xdr:row>19</xdr:row>
      <xdr:rowOff>105834</xdr:rowOff>
    </xdr:from>
    <xdr:to>
      <xdr:col>16</xdr:col>
      <xdr:colOff>59266</xdr:colOff>
      <xdr:row>30</xdr:row>
      <xdr:rowOff>152400</xdr:rowOff>
    </xdr:to>
    <xdr:sp macro="" textlink="">
      <xdr:nvSpPr>
        <xdr:cNvPr id="10" name="Rectangle 9">
          <a:extLst>
            <a:ext uri="{FF2B5EF4-FFF2-40B4-BE49-F238E27FC236}">
              <a16:creationId xmlns:a16="http://schemas.microsoft.com/office/drawing/2014/main" id="{47EE6FE2-2EAD-1766-A320-D1014CE09C85}"/>
            </a:ext>
          </a:extLst>
        </xdr:cNvPr>
        <xdr:cNvSpPr/>
      </xdr:nvSpPr>
      <xdr:spPr>
        <a:xfrm>
          <a:off x="8891411" y="3767667"/>
          <a:ext cx="876299" cy="206445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472722</xdr:colOff>
      <xdr:row>8</xdr:row>
      <xdr:rowOff>28223</xdr:rowOff>
    </xdr:from>
    <xdr:to>
      <xdr:col>9</xdr:col>
      <xdr:colOff>345722</xdr:colOff>
      <xdr:row>19</xdr:row>
      <xdr:rowOff>14111</xdr:rowOff>
    </xdr:to>
    <xdr:graphicFrame macro="">
      <xdr:nvGraphicFramePr>
        <xdr:cNvPr id="11" name="Chart 10">
          <a:extLst>
            <a:ext uri="{FF2B5EF4-FFF2-40B4-BE49-F238E27FC236}">
              <a16:creationId xmlns:a16="http://schemas.microsoft.com/office/drawing/2014/main" id="{7ABE3029-128C-4D1E-BAF8-9C5FFEAB58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444500</xdr:colOff>
      <xdr:row>8</xdr:row>
      <xdr:rowOff>42335</xdr:rowOff>
    </xdr:from>
    <xdr:to>
      <xdr:col>16</xdr:col>
      <xdr:colOff>63500</xdr:colOff>
      <xdr:row>19</xdr:row>
      <xdr:rowOff>21167</xdr:rowOff>
    </xdr:to>
    <xdr:graphicFrame macro="">
      <xdr:nvGraphicFramePr>
        <xdr:cNvPr id="12" name="Chart 11">
          <a:extLst>
            <a:ext uri="{FF2B5EF4-FFF2-40B4-BE49-F238E27FC236}">
              <a16:creationId xmlns:a16="http://schemas.microsoft.com/office/drawing/2014/main" id="{79B51D62-902E-4A02-B1AC-44CF10F15C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472723</xdr:colOff>
      <xdr:row>19</xdr:row>
      <xdr:rowOff>84668</xdr:rowOff>
    </xdr:from>
    <xdr:to>
      <xdr:col>9</xdr:col>
      <xdr:colOff>349250</xdr:colOff>
      <xdr:row>30</xdr:row>
      <xdr:rowOff>158750</xdr:rowOff>
    </xdr:to>
    <xdr:graphicFrame macro="">
      <xdr:nvGraphicFramePr>
        <xdr:cNvPr id="13" name="Chart 12">
          <a:extLst>
            <a:ext uri="{FF2B5EF4-FFF2-40B4-BE49-F238E27FC236}">
              <a16:creationId xmlns:a16="http://schemas.microsoft.com/office/drawing/2014/main" id="{191828DC-0369-42E8-B289-546AA04336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437444</xdr:colOff>
      <xdr:row>19</xdr:row>
      <xdr:rowOff>88901</xdr:rowOff>
    </xdr:from>
    <xdr:to>
      <xdr:col>14</xdr:col>
      <xdr:colOff>336550</xdr:colOff>
      <xdr:row>30</xdr:row>
      <xdr:rowOff>165100</xdr:rowOff>
    </xdr:to>
    <xdr:graphicFrame macro="">
      <xdr:nvGraphicFramePr>
        <xdr:cNvPr id="14" name="Chart 13">
          <a:extLst>
            <a:ext uri="{FF2B5EF4-FFF2-40B4-BE49-F238E27FC236}">
              <a16:creationId xmlns:a16="http://schemas.microsoft.com/office/drawing/2014/main" id="{0BECAF59-F63C-42CA-A51B-497309B5D9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82550</xdr:colOff>
      <xdr:row>8</xdr:row>
      <xdr:rowOff>63500</xdr:rowOff>
    </xdr:from>
    <xdr:to>
      <xdr:col>4</xdr:col>
      <xdr:colOff>266700</xdr:colOff>
      <xdr:row>14</xdr:row>
      <xdr:rowOff>171450</xdr:rowOff>
    </xdr:to>
    <xdr:sp macro="" textlink="Pivot!F38">
      <xdr:nvSpPr>
        <xdr:cNvPr id="15" name="Rectangle 14">
          <a:extLst>
            <a:ext uri="{FF2B5EF4-FFF2-40B4-BE49-F238E27FC236}">
              <a16:creationId xmlns:a16="http://schemas.microsoft.com/office/drawing/2014/main" id="{644B95D7-00EE-FD49-6E33-3813BB9CF429}"/>
            </a:ext>
          </a:extLst>
        </xdr:cNvPr>
        <xdr:cNvSpPr/>
      </xdr:nvSpPr>
      <xdr:spPr>
        <a:xfrm>
          <a:off x="1301750" y="1714500"/>
          <a:ext cx="1403350" cy="1212850"/>
        </a:xfrm>
        <a:prstGeom prst="rect">
          <a:avLst/>
        </a:prstGeom>
        <a:solidFill>
          <a:schemeClr val="bg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i="0" u="none" strike="noStrike">
            <a:solidFill>
              <a:srgbClr val="000000"/>
            </a:solidFill>
            <a:latin typeface="Aptos Narrow"/>
          </a:endParaRPr>
        </a:p>
        <a:p>
          <a:pPr algn="l"/>
          <a:endParaRPr lang="en-US" sz="1100" b="1" i="0" u="none" strike="noStrike">
            <a:solidFill>
              <a:srgbClr val="000000"/>
            </a:solidFill>
            <a:latin typeface="Aptos Narrow"/>
          </a:endParaRPr>
        </a:p>
        <a:p>
          <a:pPr algn="l"/>
          <a:endParaRPr lang="en-US" sz="1100" b="1" i="0" u="none" strike="noStrike">
            <a:solidFill>
              <a:srgbClr val="000000"/>
            </a:solidFill>
            <a:latin typeface="Aptos Narrow"/>
          </a:endParaRPr>
        </a:p>
        <a:p>
          <a:pPr algn="ctr"/>
          <a:fld id="{6391FA49-1E5E-4587-85BA-2F9AFAB0FDD2}" type="TxLink">
            <a:rPr lang="en-US" sz="1600" b="1" i="0" u="none" strike="noStrike">
              <a:solidFill>
                <a:srgbClr val="000000"/>
              </a:solidFill>
              <a:latin typeface="Aptos Narrow"/>
            </a:rPr>
            <a:pPr algn="ctr"/>
            <a:t>₦212,364,288</a:t>
          </a:fld>
          <a:endParaRPr lang="en-GB" sz="1600" b="1"/>
        </a:p>
      </xdr:txBody>
    </xdr:sp>
    <xdr:clientData/>
  </xdr:twoCellAnchor>
  <xdr:twoCellAnchor>
    <xdr:from>
      <xdr:col>2</xdr:col>
      <xdr:colOff>69850</xdr:colOff>
      <xdr:row>15</xdr:row>
      <xdr:rowOff>98425</xdr:rowOff>
    </xdr:from>
    <xdr:to>
      <xdr:col>4</xdr:col>
      <xdr:colOff>254000</xdr:colOff>
      <xdr:row>22</xdr:row>
      <xdr:rowOff>85725</xdr:rowOff>
    </xdr:to>
    <xdr:sp macro="" textlink="Pivot!G38">
      <xdr:nvSpPr>
        <xdr:cNvPr id="16" name="Rectangle 15">
          <a:extLst>
            <a:ext uri="{FF2B5EF4-FFF2-40B4-BE49-F238E27FC236}">
              <a16:creationId xmlns:a16="http://schemas.microsoft.com/office/drawing/2014/main" id="{CAA391BC-737C-3778-8981-CFD9A4E8068E}"/>
            </a:ext>
          </a:extLst>
        </xdr:cNvPr>
        <xdr:cNvSpPr/>
      </xdr:nvSpPr>
      <xdr:spPr>
        <a:xfrm>
          <a:off x="1289050" y="3038475"/>
          <a:ext cx="1403350" cy="1276350"/>
        </a:xfrm>
        <a:prstGeom prst="rect">
          <a:avLst/>
        </a:prstGeom>
        <a:solidFill>
          <a:schemeClr val="bg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i="0" u="none" strike="noStrike">
            <a:solidFill>
              <a:srgbClr val="000000"/>
            </a:solidFill>
            <a:latin typeface="Aptos Narrow"/>
          </a:endParaRPr>
        </a:p>
        <a:p>
          <a:pPr algn="l"/>
          <a:endParaRPr lang="en-US" sz="1100" b="1" i="0" u="none" strike="noStrike">
            <a:solidFill>
              <a:srgbClr val="000000"/>
            </a:solidFill>
            <a:latin typeface="Aptos Narrow"/>
          </a:endParaRPr>
        </a:p>
        <a:p>
          <a:pPr algn="l"/>
          <a:endParaRPr lang="en-US" sz="1100" b="1" i="0" u="none" strike="noStrike">
            <a:solidFill>
              <a:srgbClr val="000000"/>
            </a:solidFill>
            <a:latin typeface="Aptos Narrow"/>
          </a:endParaRPr>
        </a:p>
        <a:p>
          <a:pPr algn="ctr"/>
          <a:fld id="{00527991-CCDB-4329-95DD-80C7D6993662}" type="TxLink">
            <a:rPr lang="en-US" sz="1600" b="1" i="0" u="none" strike="noStrike">
              <a:solidFill>
                <a:srgbClr val="000000"/>
              </a:solidFill>
              <a:latin typeface="Aptos Narrow"/>
            </a:rPr>
            <a:pPr algn="ctr"/>
            <a:t>₦141,094,287</a:t>
          </a:fld>
          <a:endParaRPr lang="en-GB" sz="1600"/>
        </a:p>
      </xdr:txBody>
    </xdr:sp>
    <xdr:clientData/>
  </xdr:twoCellAnchor>
  <xdr:twoCellAnchor>
    <xdr:from>
      <xdr:col>2</xdr:col>
      <xdr:colOff>95250</xdr:colOff>
      <xdr:row>23</xdr:row>
      <xdr:rowOff>12700</xdr:rowOff>
    </xdr:from>
    <xdr:to>
      <xdr:col>4</xdr:col>
      <xdr:colOff>279400</xdr:colOff>
      <xdr:row>30</xdr:row>
      <xdr:rowOff>38100</xdr:rowOff>
    </xdr:to>
    <xdr:sp macro="" textlink="Pivot!H38">
      <xdr:nvSpPr>
        <xdr:cNvPr id="17" name="Rectangle 16">
          <a:extLst>
            <a:ext uri="{FF2B5EF4-FFF2-40B4-BE49-F238E27FC236}">
              <a16:creationId xmlns:a16="http://schemas.microsoft.com/office/drawing/2014/main" id="{0AC5B602-791E-B675-C97A-AA2BAD56B16E}"/>
            </a:ext>
          </a:extLst>
        </xdr:cNvPr>
        <xdr:cNvSpPr/>
      </xdr:nvSpPr>
      <xdr:spPr>
        <a:xfrm>
          <a:off x="1314450" y="4425950"/>
          <a:ext cx="1403350" cy="1314450"/>
        </a:xfrm>
        <a:prstGeom prst="rect">
          <a:avLst/>
        </a:prstGeom>
        <a:solidFill>
          <a:schemeClr val="bg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i="0" u="none" strike="noStrike">
            <a:solidFill>
              <a:srgbClr val="000000"/>
            </a:solidFill>
            <a:latin typeface="Aptos Narrow"/>
          </a:endParaRPr>
        </a:p>
        <a:p>
          <a:pPr algn="l"/>
          <a:endParaRPr lang="en-US" sz="1100" b="1" i="0" u="none" strike="noStrike">
            <a:solidFill>
              <a:srgbClr val="000000"/>
            </a:solidFill>
            <a:latin typeface="Aptos Narrow"/>
          </a:endParaRPr>
        </a:p>
        <a:p>
          <a:pPr algn="l"/>
          <a:endParaRPr lang="en-US" sz="1100" b="1" i="0" u="none" strike="noStrike">
            <a:solidFill>
              <a:srgbClr val="000000"/>
            </a:solidFill>
            <a:latin typeface="Aptos Narrow"/>
          </a:endParaRPr>
        </a:p>
        <a:p>
          <a:pPr algn="ctr"/>
          <a:fld id="{8C48EB1A-B701-4E6A-88E0-599A182EA992}" type="TxLink">
            <a:rPr lang="en-US" sz="1600" b="1" i="0" u="none" strike="noStrike">
              <a:solidFill>
                <a:srgbClr val="000000"/>
              </a:solidFill>
              <a:latin typeface="Aptos Narrow"/>
            </a:rPr>
            <a:pPr algn="ctr"/>
            <a:t>₦39,208,279</a:t>
          </a:fld>
          <a:endParaRPr lang="en-GB" sz="1600"/>
        </a:p>
      </xdr:txBody>
    </xdr:sp>
    <xdr:clientData/>
  </xdr:twoCellAnchor>
  <xdr:twoCellAnchor>
    <xdr:from>
      <xdr:col>2</xdr:col>
      <xdr:colOff>162277</xdr:colOff>
      <xdr:row>9</xdr:row>
      <xdr:rowOff>0</xdr:rowOff>
    </xdr:from>
    <xdr:to>
      <xdr:col>4</xdr:col>
      <xdr:colOff>218722</xdr:colOff>
      <xdr:row>10</xdr:row>
      <xdr:rowOff>141112</xdr:rowOff>
    </xdr:to>
    <xdr:sp macro="" textlink="">
      <xdr:nvSpPr>
        <xdr:cNvPr id="18" name="Rectangle 17">
          <a:extLst>
            <a:ext uri="{FF2B5EF4-FFF2-40B4-BE49-F238E27FC236}">
              <a16:creationId xmlns:a16="http://schemas.microsoft.com/office/drawing/2014/main" id="{2ED16BD4-F2EA-61D8-12BD-938CD72A4811}"/>
            </a:ext>
          </a:extLst>
        </xdr:cNvPr>
        <xdr:cNvSpPr/>
      </xdr:nvSpPr>
      <xdr:spPr>
        <a:xfrm>
          <a:off x="1375833" y="1827389"/>
          <a:ext cx="1270000" cy="324556"/>
        </a:xfrm>
        <a:prstGeom prst="rect">
          <a:avLst/>
        </a:prstGeom>
        <a:solidFill>
          <a:schemeClr val="accent4">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050" b="1"/>
            <a:t>Average Revenue</a:t>
          </a:r>
        </a:p>
      </xdr:txBody>
    </xdr:sp>
    <xdr:clientData/>
  </xdr:twoCellAnchor>
  <xdr:twoCellAnchor>
    <xdr:from>
      <xdr:col>2</xdr:col>
      <xdr:colOff>127000</xdr:colOff>
      <xdr:row>16</xdr:row>
      <xdr:rowOff>35278</xdr:rowOff>
    </xdr:from>
    <xdr:to>
      <xdr:col>4</xdr:col>
      <xdr:colOff>225778</xdr:colOff>
      <xdr:row>18</xdr:row>
      <xdr:rowOff>35279</xdr:rowOff>
    </xdr:to>
    <xdr:sp macro="" textlink="">
      <xdr:nvSpPr>
        <xdr:cNvPr id="19" name="Rectangle 18">
          <a:extLst>
            <a:ext uri="{FF2B5EF4-FFF2-40B4-BE49-F238E27FC236}">
              <a16:creationId xmlns:a16="http://schemas.microsoft.com/office/drawing/2014/main" id="{B43F18A9-A19B-E4B8-90EB-BBD20FE3783F}"/>
            </a:ext>
          </a:extLst>
        </xdr:cNvPr>
        <xdr:cNvSpPr/>
      </xdr:nvSpPr>
      <xdr:spPr>
        <a:xfrm>
          <a:off x="1340556" y="3146778"/>
          <a:ext cx="1312333" cy="366890"/>
        </a:xfrm>
        <a:prstGeom prst="rect">
          <a:avLst/>
        </a:prstGeom>
        <a:solidFill>
          <a:schemeClr val="accent4">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050" b="1"/>
            <a:t>Average Gross Profit</a:t>
          </a:r>
        </a:p>
      </xdr:txBody>
    </xdr:sp>
    <xdr:clientData/>
  </xdr:twoCellAnchor>
  <xdr:twoCellAnchor>
    <xdr:from>
      <xdr:col>2</xdr:col>
      <xdr:colOff>197555</xdr:colOff>
      <xdr:row>23</xdr:row>
      <xdr:rowOff>127000</xdr:rowOff>
    </xdr:from>
    <xdr:to>
      <xdr:col>4</xdr:col>
      <xdr:colOff>232833</xdr:colOff>
      <xdr:row>25</xdr:row>
      <xdr:rowOff>98778</xdr:rowOff>
    </xdr:to>
    <xdr:sp macro="" textlink="">
      <xdr:nvSpPr>
        <xdr:cNvPr id="20" name="Rectangle 19">
          <a:extLst>
            <a:ext uri="{FF2B5EF4-FFF2-40B4-BE49-F238E27FC236}">
              <a16:creationId xmlns:a16="http://schemas.microsoft.com/office/drawing/2014/main" id="{FAB92C9A-14CC-C3F3-CEE3-9682122F6111}"/>
            </a:ext>
          </a:extLst>
        </xdr:cNvPr>
        <xdr:cNvSpPr/>
      </xdr:nvSpPr>
      <xdr:spPr>
        <a:xfrm>
          <a:off x="1411111" y="4522611"/>
          <a:ext cx="1248833" cy="338667"/>
        </a:xfrm>
        <a:prstGeom prst="rect">
          <a:avLst/>
        </a:prstGeom>
        <a:solidFill>
          <a:schemeClr val="accent4">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050" b="1"/>
            <a:t>Average Net Profit</a:t>
          </a:r>
        </a:p>
      </xdr:txBody>
    </xdr:sp>
    <xdr:clientData/>
  </xdr:twoCellAnchor>
  <xdr:twoCellAnchor editAs="oneCell">
    <xdr:from>
      <xdr:col>14</xdr:col>
      <xdr:colOff>395110</xdr:colOff>
      <xdr:row>19</xdr:row>
      <xdr:rowOff>105832</xdr:rowOff>
    </xdr:from>
    <xdr:to>
      <xdr:col>16</xdr:col>
      <xdr:colOff>70555</xdr:colOff>
      <xdr:row>31</xdr:row>
      <xdr:rowOff>7053</xdr:rowOff>
    </xdr:to>
    <mc:AlternateContent xmlns:mc="http://schemas.openxmlformats.org/markup-compatibility/2006">
      <mc:Choice xmlns:a14="http://schemas.microsoft.com/office/drawing/2010/main" Requires="a14">
        <xdr:graphicFrame macro="">
          <xdr:nvGraphicFramePr>
            <xdr:cNvPr id="21" name="Year">
              <a:extLst>
                <a:ext uri="{FF2B5EF4-FFF2-40B4-BE49-F238E27FC236}">
                  <a16:creationId xmlns:a16="http://schemas.microsoft.com/office/drawing/2014/main" id="{F7FCDA2B-8AF2-8879-AA30-6EF02ECE21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8995832" y="3767665"/>
              <a:ext cx="889001" cy="210255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44450</xdr:colOff>
          <xdr:row>0</xdr:row>
          <xdr:rowOff>127000</xdr:rowOff>
        </xdr:from>
        <xdr:to>
          <xdr:col>2</xdr:col>
          <xdr:colOff>1244600</xdr:colOff>
          <xdr:row>1</xdr:row>
          <xdr:rowOff>152400</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AB4302FE-7436-510E-E071-49D72359753E}"/>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0</xdr:row>
          <xdr:rowOff>139700</xdr:rowOff>
        </xdr:from>
        <xdr:to>
          <xdr:col>2</xdr:col>
          <xdr:colOff>1219200</xdr:colOff>
          <xdr:row>1</xdr:row>
          <xdr:rowOff>165100</xdr:rowOff>
        </xdr:to>
        <xdr:sp macro="" textlink="">
          <xdr:nvSpPr>
            <xdr:cNvPr id="7169" name="Drop Down 1" hidden="1">
              <a:extLst>
                <a:ext uri="{63B3BB69-23CF-44E3-9099-C40C66FF867C}">
                  <a14:compatExt spid="_x0000_s7169"/>
                </a:ext>
                <a:ext uri="{FF2B5EF4-FFF2-40B4-BE49-F238E27FC236}">
                  <a16:creationId xmlns:a16="http://schemas.microsoft.com/office/drawing/2014/main" id="{00000000-0008-0000-0500-000001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279400</xdr:colOff>
          <xdr:row>0</xdr:row>
          <xdr:rowOff>38100</xdr:rowOff>
        </xdr:from>
        <xdr:to>
          <xdr:col>2</xdr:col>
          <xdr:colOff>1479550</xdr:colOff>
          <xdr:row>1</xdr:row>
          <xdr:rowOff>63500</xdr:rowOff>
        </xdr:to>
        <xdr:sp macro="" textlink="">
          <xdr:nvSpPr>
            <xdr:cNvPr id="8193" name="Drop Down 1" hidden="1">
              <a:extLst>
                <a:ext uri="{63B3BB69-23CF-44E3-9099-C40C66FF867C}">
                  <a14:compatExt spid="_x0000_s8193"/>
                </a:ext>
                <a:ext uri="{FF2B5EF4-FFF2-40B4-BE49-F238E27FC236}">
                  <a16:creationId xmlns:a16="http://schemas.microsoft.com/office/drawing/2014/main" id="{D2694CA5-822D-96E8-CE0B-8A7AD07FE2FF}"/>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0</xdr:row>
          <xdr:rowOff>31750</xdr:rowOff>
        </xdr:from>
        <xdr:to>
          <xdr:col>2</xdr:col>
          <xdr:colOff>1200150</xdr:colOff>
          <xdr:row>1</xdr:row>
          <xdr:rowOff>57150</xdr:rowOff>
        </xdr:to>
        <xdr:sp macro="" textlink="">
          <xdr:nvSpPr>
            <xdr:cNvPr id="9217" name="Drop Down 1" hidden="1">
              <a:extLst>
                <a:ext uri="{63B3BB69-23CF-44E3-9099-C40C66FF867C}">
                  <a14:compatExt spid="_x0000_s9217"/>
                </a:ext>
                <a:ext uri="{FF2B5EF4-FFF2-40B4-BE49-F238E27FC236}">
                  <a16:creationId xmlns:a16="http://schemas.microsoft.com/office/drawing/2014/main" id="{A07FF538-9740-6AE2-CC8D-919C04351BE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63500</xdr:colOff>
          <xdr:row>0</xdr:row>
          <xdr:rowOff>101600</xdr:rowOff>
        </xdr:from>
        <xdr:to>
          <xdr:col>2</xdr:col>
          <xdr:colOff>1263650</xdr:colOff>
          <xdr:row>1</xdr:row>
          <xdr:rowOff>127000</xdr:rowOff>
        </xdr:to>
        <xdr:sp macro="" textlink="">
          <xdr:nvSpPr>
            <xdr:cNvPr id="10241" name="Drop Down 1" hidden="1">
              <a:extLst>
                <a:ext uri="{63B3BB69-23CF-44E3-9099-C40C66FF867C}">
                  <a14:compatExt spid="_x0000_s10241"/>
                </a:ext>
                <a:ext uri="{FF2B5EF4-FFF2-40B4-BE49-F238E27FC236}">
                  <a16:creationId xmlns:a16="http://schemas.microsoft.com/office/drawing/2014/main" id="{B4A0EE0A-F0DE-89CD-9AE6-7C25775E3B7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12700</xdr:colOff>
          <xdr:row>0</xdr:row>
          <xdr:rowOff>146050</xdr:rowOff>
        </xdr:from>
        <xdr:to>
          <xdr:col>2</xdr:col>
          <xdr:colOff>1212850</xdr:colOff>
          <xdr:row>1</xdr:row>
          <xdr:rowOff>171450</xdr:rowOff>
        </xdr:to>
        <xdr:sp macro="" textlink="">
          <xdr:nvSpPr>
            <xdr:cNvPr id="11265" name="Drop Down 1" hidden="1">
              <a:extLst>
                <a:ext uri="{63B3BB69-23CF-44E3-9099-C40C66FF867C}">
                  <a14:compatExt spid="_x0000_s11265"/>
                </a:ext>
                <a:ext uri="{FF2B5EF4-FFF2-40B4-BE49-F238E27FC236}">
                  <a16:creationId xmlns:a16="http://schemas.microsoft.com/office/drawing/2014/main" id="{2E650622-F7CD-C317-2C3A-520AC930BAA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50800</xdr:colOff>
          <xdr:row>1</xdr:row>
          <xdr:rowOff>0</xdr:rowOff>
        </xdr:from>
        <xdr:to>
          <xdr:col>2</xdr:col>
          <xdr:colOff>933450</xdr:colOff>
          <xdr:row>2</xdr:row>
          <xdr:rowOff>12700</xdr:rowOff>
        </xdr:to>
        <xdr:sp macro="" textlink="">
          <xdr:nvSpPr>
            <xdr:cNvPr id="12289" name="Drop Down 1" hidden="1">
              <a:extLst>
                <a:ext uri="{63B3BB69-23CF-44E3-9099-C40C66FF867C}">
                  <a14:compatExt spid="_x0000_s12289"/>
                </a:ext>
                <a:ext uri="{FF2B5EF4-FFF2-40B4-BE49-F238E27FC236}">
                  <a16:creationId xmlns:a16="http://schemas.microsoft.com/office/drawing/2014/main" id="{06FB7FC5-4188-C304-9529-041252DF589C}"/>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kechukwu" refreshedDate="45733.525750462963" createdVersion="8" refreshedVersion="8" minRefreshableVersion="3" recordCount="20" xr:uid="{07F91786-E760-4A5A-9524-A2A458C5EA0F}">
  <cacheSource type="worksheet">
    <worksheetSource name="Table1"/>
  </cacheSource>
  <cacheFields count="11">
    <cacheField name="Year" numFmtId="0">
      <sharedItems containsSemiMixedTypes="0" containsString="0" containsNumber="1" containsInteger="1" minValue="2025" maxValue="2029" count="5">
        <n v="2025"/>
        <n v="2026"/>
        <n v="2027"/>
        <n v="2028"/>
        <n v="2029"/>
      </sharedItems>
    </cacheField>
    <cacheField name="Revenue" numFmtId="0">
      <sharedItems containsString="0" containsBlank="1" containsNumber="1" containsInteger="1" minValue="148124160" maxValue="297043200"/>
    </cacheField>
    <cacheField name="COS" numFmtId="0">
      <sharedItems containsString="0" containsBlank="1" containsNumber="1" minValue="53282764.800000004" maxValue="94980096"/>
    </cacheField>
    <cacheField name="Gross Profit" numFmtId="0">
      <sharedItems containsString="0" containsBlank="1" containsNumber="1" minValue="94841395.199999988" maxValue="202063104"/>
    </cacheField>
    <cacheField name="Opex items" numFmtId="0">
      <sharedItems containsBlank="1" count="4">
        <m/>
        <s v="Employee cost"/>
        <s v="Dep &amp; Amort."/>
        <s v="Other Expenses"/>
      </sharedItems>
    </cacheField>
    <cacheField name="Opex" numFmtId="0">
      <sharedItems containsString="0" containsBlank="1" containsNumber="1" minValue="8595000" maxValue="46800000"/>
    </cacheField>
    <cacheField name="Operating Profit" numFmtId="0">
      <sharedItems containsString="0" containsBlank="1" containsNumber="1" minValue="32550911.999999985" maxValue="136334240"/>
    </cacheField>
    <cacheField name="Net Profit" numFmtId="0">
      <sharedItems containsString="0" containsBlank="1" containsNumber="1" minValue="12281243.682284269" maxValue="64077239.376163647"/>
    </cacheField>
    <cacheField name="GP Margin" numFmtId="0">
      <sharedItems containsString="0" containsBlank="1" containsNumber="1" minValue="0.64028309223829516" maxValue="0.68024820632150473"/>
    </cacheField>
    <cacheField name="NP Margin" numFmtId="0">
      <sharedItems containsString="0" containsBlank="1" containsNumber="1" minValue="8.2911819937303066E-2" maxValue="0.23835843150412217"/>
    </cacheField>
    <cacheField name="ROCE" numFmtId="0">
      <sharedItems containsString="0" containsBlank="1" containsNumber="1" minValue="0.15305577919858546" maxValue="0.33936148599854138"/>
    </cacheField>
  </cacheFields>
  <extLst>
    <ext xmlns:x14="http://schemas.microsoft.com/office/spreadsheetml/2009/9/main" uri="{725AE2AE-9491-48be-B2B4-4EB974FC3084}">
      <x14:pivotCacheDefinition pivotCacheId="8623021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148124160"/>
    <n v="53282764.800000004"/>
    <n v="94841395.199999988"/>
    <x v="0"/>
    <m/>
    <n v="32550911.999999985"/>
    <n v="12281243.682284269"/>
    <n v="0.64028309223829516"/>
    <n v="8.2911819937303066E-2"/>
    <n v="0.15305577919858546"/>
  </r>
  <r>
    <x v="1"/>
    <n v="159010560"/>
    <n v="56330956.800000004"/>
    <n v="102679603.19999999"/>
    <x v="0"/>
    <m/>
    <n v="41583391.999999985"/>
    <n v="18576959.593228687"/>
    <n v="0.64574078098963983"/>
    <n v="0.1168284646832807"/>
    <n v="0.19533745698722593"/>
  </r>
  <r>
    <x v="2"/>
    <n v="207083520"/>
    <n v="69791385.599999994"/>
    <n v="137292134.40000001"/>
    <x v="0"/>
    <m/>
    <n v="75090464"/>
    <n v="41382863.55745732"/>
    <n v="0.66297952825990214"/>
    <n v="0.19983658553542705"/>
    <n v="0.32277867280244998"/>
  </r>
  <r>
    <x v="3"/>
    <n v="250560000"/>
    <n v="81964800"/>
    <n v="168595200"/>
    <x v="0"/>
    <m/>
    <n v="103796000"/>
    <n v="59723088.59767285"/>
    <n v="0.67287356321839076"/>
    <n v="0.23835843150412217"/>
    <n v="0.33936148599854138"/>
  </r>
  <r>
    <x v="4"/>
    <n v="297043200"/>
    <n v="94980096"/>
    <n v="202063104"/>
    <x v="0"/>
    <m/>
    <n v="136334240"/>
    <n v="64077239.376163647"/>
    <n v="0.68024820632150473"/>
    <n v="0.21571690372364574"/>
    <n v="0.28196999283592605"/>
  </r>
  <r>
    <x v="0"/>
    <m/>
    <m/>
    <m/>
    <x v="1"/>
    <n v="46800000"/>
    <m/>
    <m/>
    <m/>
    <m/>
    <m/>
  </r>
  <r>
    <x v="0"/>
    <m/>
    <m/>
    <m/>
    <x v="2"/>
    <n v="8595000"/>
    <m/>
    <m/>
    <m/>
    <m/>
    <m/>
  </r>
  <r>
    <x v="0"/>
    <m/>
    <m/>
    <m/>
    <x v="3"/>
    <n v="15490483.199999999"/>
    <m/>
    <m/>
    <m/>
    <m/>
    <m/>
  </r>
  <r>
    <x v="1"/>
    <m/>
    <m/>
    <m/>
    <x v="1"/>
    <n v="46800000"/>
    <m/>
    <m/>
    <m/>
    <m/>
    <m/>
  </r>
  <r>
    <x v="1"/>
    <m/>
    <m/>
    <m/>
    <x v="2"/>
    <n v="8595000"/>
    <m/>
    <m/>
    <m/>
    <m/>
    <m/>
  </r>
  <r>
    <x v="1"/>
    <m/>
    <m/>
    <m/>
    <x v="3"/>
    <n v="14296211.199999999"/>
    <m/>
    <m/>
    <m/>
    <m/>
    <m/>
  </r>
  <r>
    <x v="2"/>
    <m/>
    <m/>
    <m/>
    <x v="1"/>
    <n v="46800000"/>
    <m/>
    <m/>
    <m/>
    <m/>
    <m/>
  </r>
  <r>
    <x v="2"/>
    <m/>
    <m/>
    <m/>
    <x v="2"/>
    <n v="8595000"/>
    <m/>
    <m/>
    <m/>
    <m/>
    <m/>
  </r>
  <r>
    <x v="2"/>
    <m/>
    <m/>
    <m/>
    <x v="3"/>
    <n v="15401670.4"/>
    <m/>
    <m/>
    <m/>
    <m/>
    <m/>
  </r>
  <r>
    <x v="3"/>
    <m/>
    <m/>
    <m/>
    <x v="1"/>
    <n v="46800000"/>
    <m/>
    <m/>
    <m/>
    <m/>
    <m/>
  </r>
  <r>
    <x v="3"/>
    <m/>
    <m/>
    <m/>
    <x v="2"/>
    <n v="10395000"/>
    <m/>
    <m/>
    <m/>
    <m/>
    <m/>
  </r>
  <r>
    <x v="3"/>
    <m/>
    <m/>
    <m/>
    <x v="3"/>
    <n v="17999200"/>
    <m/>
    <m/>
    <m/>
    <m/>
    <m/>
  </r>
  <r>
    <x v="4"/>
    <m/>
    <m/>
    <m/>
    <x v="1"/>
    <n v="46800000"/>
    <m/>
    <m/>
    <m/>
    <m/>
    <m/>
  </r>
  <r>
    <x v="4"/>
    <m/>
    <m/>
    <m/>
    <x v="2"/>
    <n v="13520000"/>
    <m/>
    <m/>
    <m/>
    <m/>
    <m/>
  </r>
  <r>
    <x v="4"/>
    <m/>
    <m/>
    <m/>
    <x v="3"/>
    <n v="18928864"/>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DE943C0-B450-462E-ADF8-F675B300FEC1}" name="PivotTable5"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2:D48" firstHeaderRow="0" firstDataRow="1" firstDataCol="1"/>
  <pivotFields count="11">
    <pivotField axis="axisRow" showAll="0">
      <items count="6">
        <item x="0"/>
        <item x="1"/>
        <item x="2"/>
        <item x="3"/>
        <item x="4"/>
        <item t="default"/>
      </items>
    </pivotField>
    <pivotField showAll="0"/>
    <pivotField showAll="0"/>
    <pivotField showAll="0"/>
    <pivotField showAll="0"/>
    <pivotField showAll="0"/>
    <pivotField showAll="0"/>
    <pivotField showAll="0"/>
    <pivotField dataField="1" showAll="0"/>
    <pivotField dataField="1" showAll="0"/>
    <pivotField dataField="1" showAll="0"/>
  </pivotFields>
  <rowFields count="1">
    <field x="0"/>
  </rowFields>
  <rowItems count="6">
    <i>
      <x/>
    </i>
    <i>
      <x v="1"/>
    </i>
    <i>
      <x v="2"/>
    </i>
    <i>
      <x v="3"/>
    </i>
    <i>
      <x v="4"/>
    </i>
    <i t="grand">
      <x/>
    </i>
  </rowItems>
  <colFields count="1">
    <field x="-2"/>
  </colFields>
  <colItems count="3">
    <i>
      <x/>
    </i>
    <i i="1">
      <x v="1"/>
    </i>
    <i i="2">
      <x v="2"/>
    </i>
  </colItems>
  <dataFields count="3">
    <dataField name="Sum of GP Margin" fld="8" baseField="0" baseItem="0"/>
    <dataField name="Sum of NP Margin" fld="9" baseField="0" baseItem="0"/>
    <dataField name="Sum of ROCE" fld="10" baseField="0" baseItem="0"/>
  </dataFields>
  <formats count="3">
    <format dxfId="15">
      <pivotArea collapsedLevelsAreSubtotals="1" fieldPosition="0">
        <references count="1">
          <reference field="0" count="0"/>
        </references>
      </pivotArea>
    </format>
    <format dxfId="16">
      <pivotArea grandRow="1" outline="0" collapsedLevelsAreSubtotals="1" fieldPosition="0"/>
    </format>
    <format dxfId="14">
      <pivotArea outline="0" collapsedLevelsAreSubtotals="1" fieldPosition="0"/>
    </format>
  </formats>
  <chartFormats count="3">
    <chartFormat chart="9" format="6"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1"/>
          </reference>
        </references>
      </pivotArea>
    </chartFormat>
    <chartFormat chart="9"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88B13F-988B-41C2-9918-014DCEE44C00}" name="PivotTable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2:D38" firstHeaderRow="0" firstDataRow="1" firstDataCol="1"/>
  <pivotFields count="11">
    <pivotField axis="axisRow" showAll="0">
      <items count="6">
        <item x="0"/>
        <item x="1"/>
        <item x="2"/>
        <item x="3"/>
        <item x="4"/>
        <item t="default"/>
      </items>
    </pivotField>
    <pivotField dataField="1" showAll="0"/>
    <pivotField showAll="0"/>
    <pivotField dataField="1" showAll="0"/>
    <pivotField showAll="0"/>
    <pivotField showAll="0"/>
    <pivotField showAll="0"/>
    <pivotField dataField="1" showAll="0"/>
    <pivotField showAll="0"/>
    <pivotField showAll="0"/>
    <pivotField showAll="0"/>
  </pivotFields>
  <rowFields count="1">
    <field x="0"/>
  </rowFields>
  <rowItems count="6">
    <i>
      <x/>
    </i>
    <i>
      <x v="1"/>
    </i>
    <i>
      <x v="2"/>
    </i>
    <i>
      <x v="3"/>
    </i>
    <i>
      <x v="4"/>
    </i>
    <i t="grand">
      <x/>
    </i>
  </rowItems>
  <colFields count="1">
    <field x="-2"/>
  </colFields>
  <colItems count="3">
    <i>
      <x/>
    </i>
    <i i="1">
      <x v="1"/>
    </i>
    <i i="2">
      <x v="2"/>
    </i>
  </colItems>
  <dataFields count="3">
    <dataField name="Average of Revenue" fld="1" subtotal="average" baseField="0" baseItem="0"/>
    <dataField name="Average of Gross Profit" fld="3" subtotal="average" baseField="0" baseItem="0"/>
    <dataField name="Average of Net Profit" fld="7" subtotal="average" baseField="0" baseItem="0"/>
  </dataFields>
  <formats count="2">
    <format dxfId="17">
      <pivotArea collapsedLevelsAreSubtotals="1" fieldPosition="0">
        <references count="1">
          <reference field="0" count="0"/>
        </references>
      </pivotArea>
    </format>
    <format dxfId="18">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9D99062-77FC-4C5A-A934-2E2E2C8429FB}"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4:B28" firstHeaderRow="1" firstDataRow="1" firstDataCol="1"/>
  <pivotFields count="11">
    <pivotField showAll="0">
      <items count="6">
        <item x="0"/>
        <item x="1"/>
        <item x="2"/>
        <item x="3"/>
        <item x="4"/>
        <item t="default"/>
      </items>
    </pivotField>
    <pivotField showAll="0"/>
    <pivotField showAll="0"/>
    <pivotField showAll="0"/>
    <pivotField axis="axisRow" multipleItemSelectionAllowed="1" showAll="0">
      <items count="5">
        <item x="2"/>
        <item x="1"/>
        <item x="3"/>
        <item h="1" x="0"/>
        <item t="default"/>
      </items>
    </pivotField>
    <pivotField dataField="1"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Opex" fld="5" baseField="0" baseItem="0"/>
  </dataFields>
  <formats count="2">
    <format dxfId="19">
      <pivotArea grandRow="1" outline="0" collapsedLevelsAreSubtotals="1" fieldPosition="0"/>
    </format>
    <format dxfId="13">
      <pivotArea collapsedLevelsAreSubtotals="1" fieldPosition="0">
        <references count="1">
          <reference field="4" count="0"/>
        </references>
      </pivotArea>
    </format>
  </format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EBDF9A5-E6E3-4F91-88FC-73CF51394978}"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3:E20" firstHeaderRow="1" firstDataRow="2" firstDataCol="1"/>
  <pivotFields count="11">
    <pivotField axis="axisRow" showAll="0">
      <items count="6">
        <item x="0"/>
        <item x="1"/>
        <item x="2"/>
        <item x="3"/>
        <item x="4"/>
        <item t="default"/>
      </items>
    </pivotField>
    <pivotField showAll="0"/>
    <pivotField showAll="0"/>
    <pivotField showAll="0"/>
    <pivotField axis="axisCol" showAll="0">
      <items count="5">
        <item x="2"/>
        <item x="1"/>
        <item x="3"/>
        <item h="1" x="0"/>
        <item t="default"/>
      </items>
    </pivotField>
    <pivotField dataField="1" showAll="0"/>
    <pivotField showAll="0"/>
    <pivotField showAll="0"/>
    <pivotField showAll="0"/>
    <pivotField showAll="0"/>
    <pivotField showAll="0"/>
  </pivotFields>
  <rowFields count="1">
    <field x="0"/>
  </rowFields>
  <rowItems count="6">
    <i>
      <x/>
    </i>
    <i>
      <x v="1"/>
    </i>
    <i>
      <x v="2"/>
    </i>
    <i>
      <x v="3"/>
    </i>
    <i>
      <x v="4"/>
    </i>
    <i t="grand">
      <x/>
    </i>
  </rowItems>
  <colFields count="1">
    <field x="4"/>
  </colFields>
  <colItems count="4">
    <i>
      <x/>
    </i>
    <i>
      <x v="1"/>
    </i>
    <i>
      <x v="2"/>
    </i>
    <i t="grand">
      <x/>
    </i>
  </colItems>
  <dataFields count="1">
    <dataField name="Sum of Opex" fld="5" baseField="0" baseItem="0"/>
  </dataFields>
  <formats count="2">
    <format dxfId="20">
      <pivotArea collapsedLevelsAreSubtotals="1" fieldPosition="0">
        <references count="1">
          <reference field="0" count="0"/>
        </references>
      </pivotArea>
    </format>
    <format dxfId="21">
      <pivotArea grandRow="1" outline="0" collapsedLevelsAreSubtotals="1" fieldPosition="0"/>
    </format>
  </formats>
  <chartFormats count="3">
    <chartFormat chart="2" format="6" series="1">
      <pivotArea type="data" outline="0" fieldPosition="0">
        <references count="2">
          <reference field="4294967294" count="1" selected="0">
            <x v="0"/>
          </reference>
          <reference field="4" count="1" selected="0">
            <x v="0"/>
          </reference>
        </references>
      </pivotArea>
    </chartFormat>
    <chartFormat chart="2" format="7" series="1">
      <pivotArea type="data" outline="0" fieldPosition="0">
        <references count="2">
          <reference field="4294967294" count="1" selected="0">
            <x v="0"/>
          </reference>
          <reference field="4" count="1" selected="0">
            <x v="1"/>
          </reference>
        </references>
      </pivotArea>
    </chartFormat>
    <chartFormat chart="2" format="8"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BBB99B5-E21C-4D70-B649-7392A147FB9D}"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E8" firstHeaderRow="0" firstDataRow="1" firstDataCol="1"/>
  <pivotFields count="11">
    <pivotField axis="axisRow" showAll="0">
      <items count="6">
        <item x="0"/>
        <item x="1"/>
        <item x="2"/>
        <item x="3"/>
        <item x="4"/>
        <item t="default"/>
      </items>
    </pivotField>
    <pivotField dataField="1" showAll="0"/>
    <pivotField dataField="1" showAll="0"/>
    <pivotField dataField="1" showAll="0"/>
    <pivotField showAll="0"/>
    <pivotField showAll="0"/>
    <pivotField showAll="0"/>
    <pivotField dataField="1" showAll="0"/>
    <pivotField showAll="0"/>
    <pivotField showAll="0"/>
    <pivotField showAll="0"/>
  </pivotFields>
  <rowFields count="1">
    <field x="0"/>
  </rowFields>
  <rowItems count="6">
    <i>
      <x/>
    </i>
    <i>
      <x v="1"/>
    </i>
    <i>
      <x v="2"/>
    </i>
    <i>
      <x v="3"/>
    </i>
    <i>
      <x v="4"/>
    </i>
    <i t="grand">
      <x/>
    </i>
  </rowItems>
  <colFields count="1">
    <field x="-2"/>
  </colFields>
  <colItems count="4">
    <i>
      <x/>
    </i>
    <i i="1">
      <x v="1"/>
    </i>
    <i i="2">
      <x v="2"/>
    </i>
    <i i="3">
      <x v="3"/>
    </i>
  </colItems>
  <dataFields count="4">
    <dataField name="Sum of Revenue" fld="1" baseField="0" baseItem="0"/>
    <dataField name="Sum of COS" fld="2" baseField="0" baseItem="0"/>
    <dataField name="Sum of Gross Profit" fld="3" baseField="0" baseItem="0"/>
    <dataField name="Sum of Net Profit" fld="7" baseField="0" baseItem="0"/>
  </dataFields>
  <formats count="2">
    <format dxfId="23">
      <pivotArea collapsedLevelsAreSubtotals="1" fieldPosition="0">
        <references count="1">
          <reference field="0" count="0"/>
        </references>
      </pivotArea>
    </format>
    <format dxfId="22">
      <pivotArea grandRow="1" outline="0" collapsedLevelsAreSubtotals="1" fieldPosition="0"/>
    </format>
  </formats>
  <chartFormats count="4">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 chart="2"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1837322-D4A4-4697-81F9-14EF1E500E61}" sourceName="Year">
  <pivotTables>
    <pivotTable tabId="14" name="PivotTable1"/>
    <pivotTable tabId="14" name="PivotTable2"/>
    <pivotTable tabId="14" name="PivotTable3"/>
    <pivotTable tabId="14" name="PivotTable4"/>
    <pivotTable tabId="14" name="PivotTable5"/>
  </pivotTables>
  <data>
    <tabular pivotCacheId="862302176">
      <items count="5">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F6F2AADC-8BCB-4404-A8FD-A560786AA010}" cache="Slicer_Year" caption="Year" style="SlicerStyleDark1"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D971D2-EA6F-45B1-B0B5-6821F600D355}" name="Table1" displayName="Table1" ref="C5:M25" totalsRowShown="0" headerRowDxfId="24" headerRowBorderDxfId="28" tableBorderDxfId="29">
  <autoFilter ref="C5:M25" xr:uid="{1CD971D2-EA6F-45B1-B0B5-6821F600D355}"/>
  <tableColumns count="11">
    <tableColumn id="1" xr3:uid="{7094090D-95A0-415C-9B51-9FBECF4FB448}" name="Year" dataDxfId="27"/>
    <tableColumn id="2" xr3:uid="{4405E3D2-322D-43B0-A7F9-B9BF4C22FFEB}" name="Revenue"/>
    <tableColumn id="3" xr3:uid="{80EACC9A-B01F-462C-B2E1-7BBFFF52094E}" name="COS"/>
    <tableColumn id="4" xr3:uid="{A5A821CC-1FE2-42F0-9ABD-4B164A2FAD27}" name="Gross Profit"/>
    <tableColumn id="5" xr3:uid="{B529B2A8-7803-4EF0-BCE8-6F7A705D2E7C}" name="Opex items" dataDxfId="26"/>
    <tableColumn id="6" xr3:uid="{0B805CDF-902C-4070-9A0F-CA525247D77A}" name="Opex" dataDxfId="25" dataCellStyle="Comma"/>
    <tableColumn id="7" xr3:uid="{30473268-1C91-4F9E-833A-F5AB84A1BFA8}" name="Operating Profit"/>
    <tableColumn id="8" xr3:uid="{795375EE-5AA0-45E3-84E6-15652E8BCE56}" name="Net Profit"/>
    <tableColumn id="9" xr3:uid="{6405997D-BF4F-4E11-BFE5-2E2B4019588B}" name="GP Margin"/>
    <tableColumn id="10" xr3:uid="{6ED7FC0D-8EEA-4474-86C3-3E0F24B432DE}" name="NP Margin"/>
    <tableColumn id="11" xr3:uid="{CD8986AE-DCE8-4D40-AB88-090FF741D150}" name="ROC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ctrlProp" Target="../ctrlProps/ctrlProp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ctrlProp" Target="../ctrlProps/ctrlProp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ctrlProp" Target="../ctrlProps/ctrlProp7.xml"/><Relationship Id="rId2" Type="http://schemas.openxmlformats.org/officeDocument/2006/relationships/vmlDrawing" Target="../drawings/vmlDrawing7.v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3" Type="http://schemas.openxmlformats.org/officeDocument/2006/relationships/ctrlProp" Target="../ctrlProps/ctrlProp8.xml"/><Relationship Id="rId2" Type="http://schemas.openxmlformats.org/officeDocument/2006/relationships/vmlDrawing" Target="../drawings/vmlDrawing8.v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3" Type="http://schemas.openxmlformats.org/officeDocument/2006/relationships/ctrlProp" Target="../ctrlProps/ctrlProp9.xml"/><Relationship Id="rId2" Type="http://schemas.openxmlformats.org/officeDocument/2006/relationships/vmlDrawing" Target="../drawings/vmlDrawing9.vml"/><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5F81C-0E1D-4A3A-91A3-24A409A32C25}">
  <dimension ref="A1"/>
  <sheetViews>
    <sheetView tabSelected="1" workbookViewId="0">
      <selection activeCell="A5" sqref="A5"/>
    </sheetView>
  </sheetViews>
  <sheetFormatPr defaultRowHeight="14.5" x14ac:dyDescent="0.35"/>
  <cols>
    <col min="1" max="16384" width="8.7265625" style="3"/>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2D718-C289-4518-B54E-D9F0B1859BA6}">
  <dimension ref="B1:N70"/>
  <sheetViews>
    <sheetView showGridLines="0" workbookViewId="0">
      <selection activeCell="D1" sqref="D1"/>
    </sheetView>
  </sheetViews>
  <sheetFormatPr defaultRowHeight="14.5" x14ac:dyDescent="0.35"/>
  <cols>
    <col min="2" max="2" width="15.1796875" customWidth="1"/>
    <col min="3" max="3" width="14.1796875" customWidth="1"/>
    <col min="4" max="4" width="21.36328125" customWidth="1"/>
    <col min="5" max="5" width="20.1796875" customWidth="1"/>
    <col min="6" max="7" width="17.453125" customWidth="1"/>
    <col min="8" max="8" width="19.90625" customWidth="1"/>
    <col min="9" max="9" width="8.26953125" customWidth="1"/>
    <col min="10" max="10" width="10.90625" customWidth="1"/>
    <col min="11" max="11" width="3.36328125" customWidth="1"/>
    <col min="12" max="12" width="2.54296875" customWidth="1"/>
    <col min="13" max="13" width="12.36328125" customWidth="1"/>
    <col min="14" max="14" width="12.54296875" customWidth="1"/>
  </cols>
  <sheetData>
    <row r="1" spans="2:14" x14ac:dyDescent="0.35">
      <c r="B1" t="s">
        <v>43</v>
      </c>
      <c r="M1" t="s">
        <v>44</v>
      </c>
      <c r="N1" s="99">
        <f ca="1">TODAY()</f>
        <v>45735</v>
      </c>
    </row>
    <row r="2" spans="2:14" ht="15" thickBot="1" x14ac:dyDescent="0.4"/>
    <row r="3" spans="2:14" x14ac:dyDescent="0.35">
      <c r="B3" s="4"/>
      <c r="C3" s="5"/>
      <c r="D3" s="5"/>
      <c r="E3" s="5"/>
      <c r="F3" s="5"/>
      <c r="G3" s="5"/>
      <c r="H3" s="5"/>
      <c r="I3" s="5"/>
      <c r="J3" s="6"/>
      <c r="K3" s="8"/>
      <c r="L3" s="8"/>
      <c r="M3" s="8"/>
      <c r="N3" s="8"/>
    </row>
    <row r="4" spans="2:14" ht="23.5" x14ac:dyDescent="0.55000000000000004">
      <c r="B4" s="7" t="s">
        <v>0</v>
      </c>
      <c r="C4" s="8"/>
      <c r="D4" s="14" t="s">
        <v>6</v>
      </c>
      <c r="E4" s="8"/>
      <c r="F4" s="8"/>
      <c r="G4" s="8"/>
      <c r="H4" s="8"/>
      <c r="I4" s="8"/>
      <c r="J4" s="9"/>
      <c r="K4" s="8"/>
      <c r="L4" s="8"/>
      <c r="M4" s="8"/>
      <c r="N4" s="8"/>
    </row>
    <row r="5" spans="2:14" x14ac:dyDescent="0.35">
      <c r="B5" s="7" t="s">
        <v>1</v>
      </c>
      <c r="C5" s="8"/>
      <c r="D5" s="8" t="s">
        <v>2</v>
      </c>
      <c r="E5" s="8"/>
      <c r="F5" s="8"/>
      <c r="G5" s="8"/>
      <c r="H5" s="8"/>
      <c r="I5" s="8"/>
      <c r="J5" s="9"/>
      <c r="K5" s="8"/>
      <c r="L5" s="8"/>
      <c r="M5" s="8"/>
      <c r="N5" s="8"/>
    </row>
    <row r="6" spans="2:14" x14ac:dyDescent="0.35">
      <c r="B6" s="7"/>
      <c r="C6" s="8"/>
      <c r="D6" s="8"/>
      <c r="E6" s="8"/>
      <c r="F6" s="8"/>
      <c r="G6" s="8"/>
      <c r="H6" s="8"/>
      <c r="I6" s="8"/>
      <c r="J6" s="9"/>
      <c r="K6" s="8"/>
      <c r="L6" s="8"/>
      <c r="M6" s="8"/>
      <c r="N6" s="8"/>
    </row>
    <row r="7" spans="2:14" x14ac:dyDescent="0.35">
      <c r="B7" s="7"/>
      <c r="C7" s="8"/>
      <c r="D7" s="8"/>
      <c r="E7" s="8"/>
      <c r="F7" s="8"/>
      <c r="G7" s="8"/>
      <c r="H7" s="8"/>
      <c r="I7" s="8"/>
      <c r="J7" s="9"/>
      <c r="K7" s="8"/>
      <c r="L7" s="8"/>
      <c r="M7" s="8"/>
      <c r="N7" s="8"/>
    </row>
    <row r="8" spans="2:14" x14ac:dyDescent="0.35">
      <c r="B8" s="13" t="s">
        <v>3</v>
      </c>
      <c r="C8" s="8"/>
      <c r="D8" s="33">
        <f>Workings!J90</f>
        <v>70415318.399999991</v>
      </c>
      <c r="E8" s="8"/>
      <c r="F8" s="8"/>
      <c r="G8" s="8"/>
      <c r="H8" s="8"/>
      <c r="I8" s="8"/>
      <c r="J8" s="9"/>
      <c r="K8" s="8"/>
      <c r="L8" s="8"/>
      <c r="M8" s="8"/>
      <c r="N8" s="8"/>
    </row>
    <row r="9" spans="2:14" x14ac:dyDescent="0.35">
      <c r="B9" s="13" t="s">
        <v>4</v>
      </c>
      <c r="C9" s="8"/>
      <c r="D9" s="33">
        <f>Valuation!$I$28</f>
        <v>283610417.06859922</v>
      </c>
      <c r="E9" s="8"/>
      <c r="F9" s="8"/>
      <c r="G9" s="8"/>
      <c r="H9" s="8"/>
      <c r="I9" s="8"/>
      <c r="J9" s="9"/>
      <c r="K9" s="8"/>
      <c r="L9" s="8"/>
      <c r="M9" s="8"/>
      <c r="N9" s="8"/>
    </row>
    <row r="10" spans="2:14" x14ac:dyDescent="0.35">
      <c r="B10" s="13" t="s">
        <v>5</v>
      </c>
      <c r="C10" s="8"/>
      <c r="D10" s="33">
        <f>Valuation!$I$53</f>
        <v>111157384.2119434</v>
      </c>
      <c r="E10" s="8"/>
      <c r="F10" s="8"/>
      <c r="G10" s="8"/>
      <c r="H10" s="8"/>
      <c r="I10" s="8"/>
      <c r="J10" s="9"/>
      <c r="K10" s="8"/>
      <c r="L10" s="8"/>
      <c r="M10" s="8"/>
      <c r="N10" s="8"/>
    </row>
    <row r="11" spans="2:14" x14ac:dyDescent="0.35">
      <c r="B11" s="7"/>
      <c r="C11" s="8"/>
      <c r="D11" s="8"/>
      <c r="E11" s="8"/>
      <c r="F11" s="8"/>
      <c r="G11" s="8"/>
      <c r="H11" s="8"/>
      <c r="I11" s="8"/>
      <c r="J11" s="9"/>
      <c r="K11" s="8"/>
      <c r="L11" s="8"/>
      <c r="M11" s="8"/>
      <c r="N11" s="8"/>
    </row>
    <row r="12" spans="2:14" ht="15" thickBot="1" x14ac:dyDescent="0.4">
      <c r="B12" s="7"/>
      <c r="C12" s="8"/>
      <c r="D12" s="17">
        <v>2025</v>
      </c>
      <c r="E12" s="17">
        <v>2026</v>
      </c>
      <c r="F12" s="17">
        <v>2027</v>
      </c>
      <c r="G12" s="17">
        <v>2028</v>
      </c>
      <c r="H12" s="17">
        <v>2029</v>
      </c>
      <c r="I12" s="8"/>
      <c r="J12" s="9"/>
      <c r="K12" s="8"/>
      <c r="L12" s="8"/>
      <c r="M12" s="8"/>
      <c r="N12" s="8"/>
    </row>
    <row r="13" spans="2:14" ht="15" thickTop="1" x14ac:dyDescent="0.35">
      <c r="B13" s="13" t="s">
        <v>7</v>
      </c>
      <c r="C13" s="8"/>
      <c r="D13" s="8"/>
      <c r="E13" s="8"/>
      <c r="F13" s="8"/>
      <c r="G13" s="8"/>
      <c r="H13" s="8"/>
      <c r="I13" s="8"/>
      <c r="J13" s="9"/>
      <c r="K13" s="8"/>
      <c r="L13" s="8"/>
      <c r="M13" s="8"/>
      <c r="N13" s="8"/>
    </row>
    <row r="14" spans="2:14" x14ac:dyDescent="0.35">
      <c r="B14" s="7" t="s">
        <v>8</v>
      </c>
      <c r="C14" s="8"/>
      <c r="D14" s="36">
        <f>'Income Statement'!I7</f>
        <v>148124160</v>
      </c>
      <c r="E14" s="36">
        <f>'Income Statement'!J7</f>
        <v>159010560</v>
      </c>
      <c r="F14" s="36">
        <f>'Income Statement'!K7</f>
        <v>207083520</v>
      </c>
      <c r="G14" s="36">
        <f>'Income Statement'!L7</f>
        <v>250560000</v>
      </c>
      <c r="H14" s="36">
        <f>'Income Statement'!M7</f>
        <v>297043200</v>
      </c>
      <c r="I14" s="8"/>
      <c r="J14" s="9"/>
      <c r="K14" s="8"/>
      <c r="L14" s="8"/>
      <c r="M14" s="8"/>
      <c r="N14" s="8"/>
    </row>
    <row r="15" spans="2:14" x14ac:dyDescent="0.35">
      <c r="B15" s="7" t="s">
        <v>9</v>
      </c>
      <c r="C15" s="8"/>
      <c r="D15" s="36">
        <f>-'Income Statement'!I8</f>
        <v>53282764.800000004</v>
      </c>
      <c r="E15" s="36">
        <f>-'Income Statement'!J8</f>
        <v>56330956.800000004</v>
      </c>
      <c r="F15" s="36">
        <f>-'Income Statement'!K8</f>
        <v>69791385.599999994</v>
      </c>
      <c r="G15" s="36">
        <f>-'Income Statement'!L8</f>
        <v>81964800</v>
      </c>
      <c r="H15" s="36">
        <f>-'Income Statement'!M8</f>
        <v>94980096</v>
      </c>
      <c r="I15" s="8"/>
      <c r="J15" s="9"/>
      <c r="K15" s="8"/>
      <c r="L15" s="8"/>
      <c r="M15" s="8"/>
      <c r="N15" s="8"/>
    </row>
    <row r="16" spans="2:14" x14ac:dyDescent="0.35">
      <c r="B16" s="7" t="s">
        <v>10</v>
      </c>
      <c r="C16" s="8"/>
      <c r="D16" s="36">
        <f>'Income Statement'!I10</f>
        <v>94841395.199999988</v>
      </c>
      <c r="E16" s="36">
        <f>'Income Statement'!J10</f>
        <v>102679603.19999999</v>
      </c>
      <c r="F16" s="36">
        <f>'Income Statement'!K10</f>
        <v>137292134.40000001</v>
      </c>
      <c r="G16" s="36">
        <f>'Income Statement'!L10</f>
        <v>168595200</v>
      </c>
      <c r="H16" s="36">
        <f>'Income Statement'!M10</f>
        <v>202063104</v>
      </c>
      <c r="I16" s="8"/>
      <c r="J16" s="9"/>
      <c r="K16" s="8"/>
      <c r="L16" s="8"/>
      <c r="M16" s="8"/>
      <c r="N16" s="8"/>
    </row>
    <row r="17" spans="2:14" x14ac:dyDescent="0.35">
      <c r="B17" s="7" t="s">
        <v>11</v>
      </c>
      <c r="C17" s="8"/>
      <c r="D17" s="36">
        <f>-'Income Statement'!I12</f>
        <v>62290483.200000003</v>
      </c>
      <c r="E17" s="36">
        <f>-'Income Statement'!J12</f>
        <v>61096211.200000003</v>
      </c>
      <c r="F17" s="36">
        <f>-'Income Statement'!K12</f>
        <v>62201670.399999999</v>
      </c>
      <c r="G17" s="36">
        <f>-'Income Statement'!L12</f>
        <v>64799200</v>
      </c>
      <c r="H17" s="36">
        <f>-'Income Statement'!M12</f>
        <v>65728864</v>
      </c>
      <c r="I17" s="8"/>
      <c r="J17" s="9"/>
      <c r="K17" s="8"/>
      <c r="L17" s="8"/>
      <c r="M17" s="8"/>
      <c r="N17" s="8"/>
    </row>
    <row r="18" spans="2:14" x14ac:dyDescent="0.35">
      <c r="B18" s="7" t="s">
        <v>12</v>
      </c>
      <c r="C18" s="8"/>
      <c r="D18" s="36">
        <f>'Income Statement'!I14</f>
        <v>32550911.999999985</v>
      </c>
      <c r="E18" s="36">
        <f>'Income Statement'!J14</f>
        <v>41583391.999999985</v>
      </c>
      <c r="F18" s="36">
        <f>'Income Statement'!K14</f>
        <v>75090464</v>
      </c>
      <c r="G18" s="36">
        <f>'Income Statement'!L14</f>
        <v>103796000</v>
      </c>
      <c r="H18" s="36">
        <f>'Income Statement'!M14</f>
        <v>136334240</v>
      </c>
      <c r="I18" s="8"/>
      <c r="J18" s="9"/>
      <c r="K18" s="8"/>
      <c r="L18" s="8"/>
      <c r="M18" s="8"/>
      <c r="N18" s="8"/>
    </row>
    <row r="19" spans="2:14" x14ac:dyDescent="0.35">
      <c r="B19" s="7" t="s">
        <v>13</v>
      </c>
      <c r="C19" s="8"/>
      <c r="D19" s="36">
        <f>'Income Statement'!I22</f>
        <v>18194435.084865585</v>
      </c>
      <c r="E19" s="36">
        <f>'Income Statement'!J22</f>
        <v>27521421.619598053</v>
      </c>
      <c r="F19" s="36">
        <f>'Income Statement'!K22</f>
        <v>61307946.011047885</v>
      </c>
      <c r="G19" s="36">
        <f>'Income Statement'!L22</f>
        <v>88478649.774330154</v>
      </c>
      <c r="H19" s="36">
        <f>'Income Statement'!M22</f>
        <v>94929243.520242438</v>
      </c>
      <c r="I19" s="8"/>
      <c r="J19" s="9"/>
      <c r="K19" s="8"/>
      <c r="L19" s="8"/>
      <c r="M19" s="8"/>
      <c r="N19" s="8"/>
    </row>
    <row r="20" spans="2:14" x14ac:dyDescent="0.35">
      <c r="B20" s="7" t="s">
        <v>14</v>
      </c>
      <c r="C20" s="8"/>
      <c r="D20" s="36">
        <f>'Income Statement'!I26</f>
        <v>12281243.682284269</v>
      </c>
      <c r="E20" s="36">
        <f>'Income Statement'!J26</f>
        <v>18576959.593228687</v>
      </c>
      <c r="F20" s="36">
        <f>'Income Statement'!K26</f>
        <v>41382863.55745732</v>
      </c>
      <c r="G20" s="36">
        <f>'Income Statement'!L26</f>
        <v>59723088.59767285</v>
      </c>
      <c r="H20" s="36">
        <f>'Income Statement'!M26</f>
        <v>64077239.376163647</v>
      </c>
      <c r="I20" s="8"/>
      <c r="J20" s="9"/>
      <c r="K20" s="8"/>
      <c r="L20" s="8"/>
      <c r="M20" s="8"/>
      <c r="N20" s="8"/>
    </row>
    <row r="21" spans="2:14" x14ac:dyDescent="0.35">
      <c r="B21" s="7"/>
      <c r="C21" s="8"/>
      <c r="D21" s="8"/>
      <c r="E21" s="8"/>
      <c r="F21" s="8"/>
      <c r="G21" s="8"/>
      <c r="H21" s="8"/>
      <c r="I21" s="8"/>
      <c r="J21" s="9"/>
      <c r="K21" s="8"/>
      <c r="L21" s="8"/>
      <c r="M21" s="8"/>
      <c r="N21" s="8"/>
    </row>
    <row r="22" spans="2:14" x14ac:dyDescent="0.35">
      <c r="B22" s="13" t="s">
        <v>15</v>
      </c>
      <c r="C22" s="8"/>
      <c r="D22" s="8"/>
      <c r="E22" s="8"/>
      <c r="F22" s="8"/>
      <c r="G22" s="8"/>
      <c r="H22" s="8"/>
      <c r="I22" s="8"/>
      <c r="J22" s="9"/>
      <c r="K22" s="8"/>
      <c r="L22" s="8"/>
      <c r="M22" s="8"/>
      <c r="N22" s="8"/>
    </row>
    <row r="23" spans="2:14" x14ac:dyDescent="0.35">
      <c r="B23" s="7" t="s">
        <v>16</v>
      </c>
      <c r="C23" s="8"/>
      <c r="D23" s="33">
        <f>'Financial Position'!I12</f>
        <v>58905000</v>
      </c>
      <c r="E23" s="33">
        <f>'Financial Position'!J12</f>
        <v>50310000</v>
      </c>
      <c r="F23" s="33">
        <f>'Financial Position'!K12</f>
        <v>41715000</v>
      </c>
      <c r="G23" s="33">
        <f>'Financial Position'!L12</f>
        <v>40320000</v>
      </c>
      <c r="H23" s="33">
        <f>'Financial Position'!M12</f>
        <v>49800000</v>
      </c>
      <c r="I23" s="8"/>
      <c r="J23" s="9"/>
      <c r="K23" s="8"/>
      <c r="L23" s="8"/>
      <c r="M23" s="8"/>
      <c r="N23" s="8"/>
    </row>
    <row r="24" spans="2:14" x14ac:dyDescent="0.35">
      <c r="B24" s="7" t="s">
        <v>17</v>
      </c>
      <c r="C24" s="8"/>
      <c r="D24" s="33">
        <f>'Financial Position'!I18</f>
        <v>60734461.004865572</v>
      </c>
      <c r="E24" s="33">
        <f>'Financial Position'!J18</f>
        <v>88544039.285425439</v>
      </c>
      <c r="F24" s="33">
        <f>'Financial Position'!K18</f>
        <v>146063550.8714582</v>
      </c>
      <c r="G24" s="33">
        <f>'Financial Position'!L18</f>
        <v>207985535.24070635</v>
      </c>
      <c r="H24" s="33">
        <f>'Financial Position'!M18</f>
        <v>253001878.26475692</v>
      </c>
      <c r="I24" s="8"/>
      <c r="J24" s="9"/>
      <c r="K24" s="8"/>
      <c r="L24" s="8"/>
      <c r="M24" s="8"/>
      <c r="N24" s="8"/>
    </row>
    <row r="25" spans="2:14" x14ac:dyDescent="0.35">
      <c r="B25" s="13" t="s">
        <v>18</v>
      </c>
      <c r="C25" s="8"/>
      <c r="D25" s="33">
        <f>'Financial Position'!I20</f>
        <v>119639461.00486557</v>
      </c>
      <c r="E25" s="33">
        <f>'Financial Position'!J20</f>
        <v>138854039.28542542</v>
      </c>
      <c r="F25" s="33">
        <f>'Financial Position'!K20</f>
        <v>187778550.8714582</v>
      </c>
      <c r="G25" s="33">
        <f>'Financial Position'!L20</f>
        <v>248305535.24070635</v>
      </c>
      <c r="H25" s="33">
        <f>'Financial Position'!M20</f>
        <v>302801878.26475692</v>
      </c>
      <c r="I25" s="8"/>
      <c r="J25" s="9"/>
      <c r="K25" s="8"/>
      <c r="L25" s="8"/>
      <c r="M25" s="8"/>
      <c r="N25" s="8"/>
    </row>
    <row r="26" spans="2:14" x14ac:dyDescent="0.35">
      <c r="B26" s="13" t="s">
        <v>19</v>
      </c>
      <c r="C26" s="8"/>
      <c r="D26" s="33">
        <f>'Financial Position'!I20-'Financial Position'!I40</f>
        <v>80240313.345827401</v>
      </c>
      <c r="E26" s="33">
        <f>'Financial Position'!J20-'Financial Position'!J40</f>
        <v>95101881.020410329</v>
      </c>
      <c r="F26" s="33">
        <f>'Financial Position'!K20-'Financial Position'!K40</f>
        <v>128208171.86637618</v>
      </c>
      <c r="G26" s="33">
        <f>'Financial Position'!L20-'Financial Position'!L40</f>
        <v>175986642.7445145</v>
      </c>
      <c r="H26" s="33">
        <f>'Financial Position'!M20-'Financial Position'!M40</f>
        <v>227248434.2454454</v>
      </c>
      <c r="I26" s="8"/>
      <c r="J26" s="9"/>
      <c r="K26" s="8"/>
      <c r="L26" s="8"/>
      <c r="M26" s="8"/>
      <c r="N26" s="8"/>
    </row>
    <row r="27" spans="2:14" x14ac:dyDescent="0.35">
      <c r="B27" s="7"/>
      <c r="C27" s="8"/>
      <c r="D27" s="8"/>
      <c r="E27" s="8"/>
      <c r="F27" s="8"/>
      <c r="G27" s="8"/>
      <c r="H27" s="8"/>
      <c r="I27" s="8"/>
      <c r="J27" s="9"/>
      <c r="K27" s="8"/>
      <c r="L27" s="8"/>
      <c r="M27" s="8"/>
      <c r="N27" s="8"/>
    </row>
    <row r="28" spans="2:14" x14ac:dyDescent="0.35">
      <c r="B28" s="13" t="s">
        <v>20</v>
      </c>
      <c r="C28" s="8"/>
      <c r="D28" s="33">
        <f>'Financial Position'!I25</f>
        <v>80240313.345827401</v>
      </c>
      <c r="E28" s="33">
        <f>'Financial Position'!J25</f>
        <v>95101881.020410359</v>
      </c>
      <c r="F28" s="33">
        <f>'Financial Position'!K25</f>
        <v>128208171.86637621</v>
      </c>
      <c r="G28" s="33">
        <f>'Financial Position'!L25</f>
        <v>175986642.74451447</v>
      </c>
      <c r="H28" s="33">
        <f>'Financial Position'!M25</f>
        <v>227248434.24544537</v>
      </c>
      <c r="I28" s="8"/>
      <c r="J28" s="9"/>
      <c r="K28" s="8"/>
      <c r="L28" s="8"/>
      <c r="M28" s="8"/>
      <c r="N28" s="8"/>
    </row>
    <row r="29" spans="2:14" x14ac:dyDescent="0.35">
      <c r="B29" s="7" t="s">
        <v>21</v>
      </c>
      <c r="C29" s="8"/>
      <c r="D29" s="33">
        <f>'Financial Position'!I31</f>
        <v>28635400.190145597</v>
      </c>
      <c r="E29" s="33">
        <f>'Financial Position'!J31</f>
        <v>27171658.75632602</v>
      </c>
      <c r="F29" s="33">
        <f>'Financial Position'!K31</f>
        <v>25782738.661508277</v>
      </c>
      <c r="G29" s="33">
        <f>'Financial Position'!L31</f>
        <v>24464815.300717287</v>
      </c>
      <c r="H29" s="33">
        <f>'Financial Position'!M31</f>
        <v>0</v>
      </c>
      <c r="I29" s="8"/>
      <c r="J29" s="9"/>
      <c r="K29" s="8"/>
      <c r="L29" s="8"/>
      <c r="M29" s="8"/>
      <c r="N29" s="8"/>
    </row>
    <row r="30" spans="2:14" x14ac:dyDescent="0.35">
      <c r="B30" s="7" t="s">
        <v>22</v>
      </c>
      <c r="C30" s="8"/>
      <c r="D30" s="33">
        <f>'Financial Position'!I38</f>
        <v>10763747.468892571</v>
      </c>
      <c r="E30" s="33">
        <f>'Financial Position'!J38</f>
        <v>16580499.508689083</v>
      </c>
      <c r="F30" s="33">
        <f>'Financial Position'!K38</f>
        <v>33787640.343573749</v>
      </c>
      <c r="G30" s="33">
        <f>'Financial Position'!L38</f>
        <v>47854077.19547458</v>
      </c>
      <c r="H30" s="33">
        <f>'Financial Position'!M38</f>
        <v>75553444.019311517</v>
      </c>
      <c r="I30" s="8"/>
      <c r="J30" s="9"/>
      <c r="K30" s="8"/>
      <c r="L30" s="8"/>
      <c r="M30" s="8"/>
      <c r="N30" s="8"/>
    </row>
    <row r="31" spans="2:14" x14ac:dyDescent="0.35">
      <c r="B31" s="13" t="s">
        <v>23</v>
      </c>
      <c r="C31" s="8"/>
      <c r="D31" s="33">
        <f>'Financial Position'!I42</f>
        <v>119639461.00486557</v>
      </c>
      <c r="E31" s="33">
        <f>'Financial Position'!J42</f>
        <v>138854039.28542545</v>
      </c>
      <c r="F31" s="33">
        <f>'Financial Position'!K42</f>
        <v>187778550.87145823</v>
      </c>
      <c r="G31" s="33">
        <f>'Financial Position'!L42</f>
        <v>248305535.24070632</v>
      </c>
      <c r="H31" s="33">
        <f>'Financial Position'!M42</f>
        <v>302801878.26475692</v>
      </c>
      <c r="I31" s="8"/>
      <c r="J31" s="9"/>
      <c r="K31" s="8"/>
      <c r="L31" s="8"/>
      <c r="M31" s="8"/>
      <c r="N31" s="8"/>
    </row>
    <row r="32" spans="2:14" x14ac:dyDescent="0.35">
      <c r="B32" s="7"/>
      <c r="C32" s="8"/>
      <c r="D32" s="8"/>
      <c r="E32" s="8"/>
      <c r="F32" s="8"/>
      <c r="G32" s="8"/>
      <c r="H32" s="8"/>
      <c r="I32" s="8"/>
      <c r="J32" s="9"/>
      <c r="K32" s="8"/>
      <c r="L32" s="8"/>
      <c r="M32" s="8"/>
      <c r="N32" s="8"/>
    </row>
    <row r="33" spans="2:14" x14ac:dyDescent="0.35">
      <c r="B33" s="13" t="s">
        <v>24</v>
      </c>
      <c r="C33" s="8"/>
      <c r="D33" s="8"/>
      <c r="E33" s="8"/>
      <c r="F33" s="8"/>
      <c r="G33" s="8"/>
      <c r="H33" s="8"/>
      <c r="I33" s="8"/>
      <c r="J33" s="9"/>
      <c r="K33" s="8"/>
      <c r="L33" s="8"/>
      <c r="M33" s="8"/>
      <c r="N33" s="8"/>
    </row>
    <row r="34" spans="2:14" x14ac:dyDescent="0.35">
      <c r="B34" s="7" t="s">
        <v>25</v>
      </c>
      <c r="C34" s="8"/>
      <c r="D34" s="36">
        <f>Cashflow!I20</f>
        <v>17613198.719999984</v>
      </c>
      <c r="E34" s="36">
        <f>Cashflow!J20</f>
        <v>34789309.397418663</v>
      </c>
      <c r="F34" s="36">
        <f>Cashflow!K20</f>
        <v>62256098.29363063</v>
      </c>
      <c r="G34" s="36">
        <f>Cashflow!L20</f>
        <v>80352945.706409454</v>
      </c>
      <c r="H34" s="36">
        <f>Cashflow!M20</f>
        <v>103817413.2233427</v>
      </c>
      <c r="I34" s="8"/>
      <c r="J34" s="9"/>
      <c r="K34" s="8"/>
      <c r="L34" s="8"/>
      <c r="M34" s="8"/>
      <c r="N34" s="8"/>
    </row>
    <row r="35" spans="2:14" x14ac:dyDescent="0.35">
      <c r="B35" s="7" t="s">
        <v>26</v>
      </c>
      <c r="C35" s="8"/>
      <c r="D35" s="33">
        <f>Cashflow!I25</f>
        <v>-67500000</v>
      </c>
      <c r="E35" s="33">
        <f>Cashflow!J25</f>
        <v>0</v>
      </c>
      <c r="F35" s="33">
        <f>Cashflow!K25</f>
        <v>0</v>
      </c>
      <c r="G35" s="33">
        <f>Cashflow!L25</f>
        <v>-9000000</v>
      </c>
      <c r="H35" s="33">
        <f>Cashflow!M25</f>
        <v>-23000000</v>
      </c>
      <c r="I35" s="8"/>
      <c r="J35" s="9"/>
      <c r="K35" s="8"/>
      <c r="L35" s="8"/>
      <c r="M35" s="8"/>
      <c r="N35" s="8"/>
    </row>
    <row r="36" spans="2:14" x14ac:dyDescent="0.35">
      <c r="B36" s="7" t="s">
        <v>27</v>
      </c>
      <c r="C36" s="8"/>
      <c r="D36" s="33">
        <f>Cashflow!I35</f>
        <v>94831835.084865585</v>
      </c>
      <c r="E36" s="33">
        <f>Cashflow!J35</f>
        <v>-7923219.116858786</v>
      </c>
      <c r="F36" s="33">
        <f>Cashflow!K35</f>
        <v>-8902909.9075978547</v>
      </c>
      <c r="G36" s="33">
        <f>Cashflow!L35</f>
        <v>-13198922.93716131</v>
      </c>
      <c r="H36" s="33">
        <f>Cashflow!M35</f>
        <v>-39829614.199292138</v>
      </c>
      <c r="I36" s="8"/>
      <c r="J36" s="9"/>
      <c r="K36" s="8"/>
      <c r="L36" s="8"/>
      <c r="M36" s="8"/>
      <c r="N36" s="8"/>
    </row>
    <row r="37" spans="2:14" x14ac:dyDescent="0.35">
      <c r="B37" s="13" t="s">
        <v>28</v>
      </c>
      <c r="C37" s="8"/>
      <c r="D37" s="33">
        <f>Cashflow!I39</f>
        <v>44945033.804865569</v>
      </c>
      <c r="E37" s="33">
        <f>Cashflow!J39</f>
        <v>71811124.085425436</v>
      </c>
      <c r="F37" s="33">
        <f>Cashflow!K39</f>
        <v>125164312.47145821</v>
      </c>
      <c r="G37" s="33">
        <f>Cashflow!L39</f>
        <v>183318335.24070635</v>
      </c>
      <c r="H37" s="33">
        <f>Cashflow!M39</f>
        <v>224306134.26475692</v>
      </c>
      <c r="I37" s="8"/>
      <c r="J37" s="9"/>
      <c r="K37" s="8"/>
      <c r="L37" s="8"/>
      <c r="M37" s="8"/>
      <c r="N37" s="8"/>
    </row>
    <row r="38" spans="2:14" x14ac:dyDescent="0.35">
      <c r="B38" s="13" t="s">
        <v>29</v>
      </c>
      <c r="C38" s="8"/>
      <c r="D38" s="70">
        <f>Valuation!$I$20</f>
        <v>-57672472.680000007</v>
      </c>
      <c r="E38" s="70">
        <f>Valuation!$J$20</f>
        <v>29981273.399999991</v>
      </c>
      <c r="F38" s="70">
        <f>Valuation!$K$20</f>
        <v>49589534.520000003</v>
      </c>
      <c r="G38" s="70">
        <f>Valuation!$L$20</f>
        <v>60922703.159999996</v>
      </c>
      <c r="H38" s="70">
        <f>Valuation!$M$20</f>
        <v>69658346.400000006</v>
      </c>
      <c r="I38" s="8"/>
      <c r="J38" s="9"/>
      <c r="K38" s="8"/>
      <c r="L38" s="8"/>
      <c r="M38" s="8"/>
      <c r="N38" s="8"/>
    </row>
    <row r="39" spans="2:14" x14ac:dyDescent="0.35">
      <c r="B39" s="7"/>
      <c r="C39" s="8"/>
      <c r="D39" s="8"/>
      <c r="E39" s="8"/>
      <c r="F39" s="8"/>
      <c r="G39" s="8"/>
      <c r="H39" s="8"/>
      <c r="I39" s="8"/>
      <c r="J39" s="9"/>
      <c r="K39" s="8"/>
      <c r="L39" s="8"/>
      <c r="M39" s="8"/>
      <c r="N39" s="8"/>
    </row>
    <row r="40" spans="2:14" x14ac:dyDescent="0.35">
      <c r="B40" s="13" t="s">
        <v>30</v>
      </c>
      <c r="C40" s="8"/>
      <c r="D40" s="8"/>
      <c r="E40" s="8"/>
      <c r="F40" s="8"/>
      <c r="G40" s="8"/>
      <c r="H40" s="8"/>
      <c r="I40" s="8"/>
      <c r="J40" s="9"/>
      <c r="K40" s="8"/>
      <c r="L40" s="8"/>
      <c r="M40" s="8"/>
      <c r="N40" s="8"/>
    </row>
    <row r="41" spans="2:14" x14ac:dyDescent="0.35">
      <c r="B41" s="7" t="s">
        <v>31</v>
      </c>
      <c r="C41" s="8"/>
      <c r="D41" s="24">
        <f>'Financial Ratio'!I8</f>
        <v>0.64028309223829516</v>
      </c>
      <c r="E41" s="24">
        <f>'Financial Ratio'!J8</f>
        <v>0.64574078098963983</v>
      </c>
      <c r="F41" s="24">
        <f>'Financial Ratio'!K8</f>
        <v>0.66297952825990214</v>
      </c>
      <c r="G41" s="24">
        <f>'Financial Ratio'!L8</f>
        <v>0.67287356321839076</v>
      </c>
      <c r="H41" s="24">
        <f>'Financial Ratio'!M8</f>
        <v>0.68024820632150473</v>
      </c>
      <c r="I41" s="8"/>
      <c r="J41" s="9"/>
      <c r="K41" s="8"/>
      <c r="L41" s="8"/>
      <c r="M41" s="8"/>
      <c r="N41" s="8"/>
    </row>
    <row r="42" spans="2:14" x14ac:dyDescent="0.35">
      <c r="B42" s="7" t="s">
        <v>32</v>
      </c>
      <c r="C42" s="8"/>
      <c r="D42" s="24">
        <f>'Financial Ratio'!I9</f>
        <v>0.21975423860631504</v>
      </c>
      <c r="E42" s="24">
        <f>'Financial Ratio'!J9</f>
        <v>0.26151339885854114</v>
      </c>
      <c r="F42" s="24">
        <f>'Financial Ratio'!K9</f>
        <v>0.3626095596597933</v>
      </c>
      <c r="G42" s="24">
        <f>'Financial Ratio'!L9</f>
        <v>0.4142560664112388</v>
      </c>
      <c r="H42" s="24">
        <f>'Financial Ratio'!M9</f>
        <v>0.45897108568719969</v>
      </c>
      <c r="I42" s="8"/>
      <c r="J42" s="9"/>
      <c r="K42" s="8"/>
      <c r="L42" s="8"/>
      <c r="M42" s="8"/>
      <c r="N42" s="8"/>
    </row>
    <row r="43" spans="2:14" x14ac:dyDescent="0.35">
      <c r="B43" s="7" t="s">
        <v>33</v>
      </c>
      <c r="C43" s="8"/>
      <c r="D43" s="24">
        <f>'Financial Ratio'!I10</f>
        <v>8.2911819937303066E-2</v>
      </c>
      <c r="E43" s="24">
        <f>'Financial Ratio'!J10</f>
        <v>0.1168284646832807</v>
      </c>
      <c r="F43" s="24">
        <f>'Financial Ratio'!K10</f>
        <v>0.19983658553542705</v>
      </c>
      <c r="G43" s="24">
        <f>'Financial Ratio'!L10</f>
        <v>0.23835843150412217</v>
      </c>
      <c r="H43" s="24">
        <f>'Financial Ratio'!M10</f>
        <v>0.21571690372364574</v>
      </c>
      <c r="I43" s="8"/>
      <c r="J43" s="9"/>
      <c r="K43" s="8"/>
      <c r="L43" s="8"/>
      <c r="M43" s="8"/>
      <c r="N43" s="8"/>
    </row>
    <row r="44" spans="2:14" x14ac:dyDescent="0.35">
      <c r="B44" s="7" t="s">
        <v>34</v>
      </c>
      <c r="C44" s="8"/>
      <c r="D44" s="24">
        <f>'Financial Ratio'!I12</f>
        <v>0.15305577919858546</v>
      </c>
      <c r="E44" s="24">
        <f>'Financial Ratio'!J12</f>
        <v>0.19533745698722593</v>
      </c>
      <c r="F44" s="24">
        <f>'Financial Ratio'!K12</f>
        <v>0.32277867280244998</v>
      </c>
      <c r="G44" s="24">
        <f>'Financial Ratio'!L12</f>
        <v>0.33936148599854138</v>
      </c>
      <c r="H44" s="24">
        <f>'Financial Ratio'!M12</f>
        <v>0.28196999283592605</v>
      </c>
      <c r="I44" s="8"/>
      <c r="J44" s="9"/>
      <c r="K44" s="8"/>
      <c r="L44" s="8"/>
      <c r="M44" s="8"/>
      <c r="N44" s="8"/>
    </row>
    <row r="45" spans="2:14" x14ac:dyDescent="0.35">
      <c r="B45" s="7" t="s">
        <v>35</v>
      </c>
      <c r="C45" s="8"/>
      <c r="D45" s="24">
        <f>'Financial Ratio'!I13</f>
        <v>0.10265211477160373</v>
      </c>
      <c r="E45" s="24">
        <f>'Financial Ratio'!J13</f>
        <v>0.13378767869361208</v>
      </c>
      <c r="F45" s="24">
        <f>'Financial Ratio'!K13</f>
        <v>0.22038120629541719</v>
      </c>
      <c r="G45" s="24">
        <f>'Financial Ratio'!L13</f>
        <v>0.24052258255047571</v>
      </c>
      <c r="H45" s="24">
        <f>'Financial Ratio'!M13</f>
        <v>0.21161440524532438</v>
      </c>
      <c r="I45" s="8"/>
      <c r="J45" s="9"/>
      <c r="K45" s="8"/>
      <c r="L45" s="8"/>
      <c r="M45" s="8"/>
      <c r="N45" s="8"/>
    </row>
    <row r="46" spans="2:14" x14ac:dyDescent="0.35">
      <c r="B46" s="7" t="s">
        <v>36</v>
      </c>
      <c r="C46" s="8"/>
      <c r="D46" s="24">
        <f>'Financial Ratio'!I21</f>
        <v>0.37609516141762789</v>
      </c>
      <c r="E46" s="24">
        <f>'Financial Ratio'!J21</f>
        <v>0.31732278348441212</v>
      </c>
      <c r="F46" s="24">
        <f>'Financial Ratio'!K21</f>
        <v>0.23538276196194993</v>
      </c>
      <c r="G46" s="24">
        <f>'Financial Ratio'!L21</f>
        <v>0.17147888685967136</v>
      </c>
      <c r="H46" s="24">
        <f>'Financial Ratio'!M21</f>
        <v>0.13279736646020407</v>
      </c>
      <c r="I46" s="8"/>
      <c r="J46" s="9"/>
      <c r="K46" s="8"/>
      <c r="L46" s="8"/>
      <c r="M46" s="8"/>
      <c r="N46" s="8"/>
    </row>
    <row r="47" spans="2:14" x14ac:dyDescent="0.35">
      <c r="B47" s="7" t="s">
        <v>37</v>
      </c>
      <c r="C47" s="8"/>
      <c r="D47" s="24">
        <f>'Financial Ratio'!I22</f>
        <v>0.67068434337533611</v>
      </c>
      <c r="E47" s="24">
        <f>'Financial Ratio'!J22</f>
        <v>0.684905397853936</v>
      </c>
      <c r="F47" s="24">
        <f>'Financial Ratio'!K22</f>
        <v>0.68276260132681366</v>
      </c>
      <c r="G47" s="24">
        <f>'Financial Ratio'!L22</f>
        <v>0.70875038115406386</v>
      </c>
      <c r="H47" s="24">
        <f>'Financial Ratio'!M22</f>
        <v>0.75048555031336073</v>
      </c>
      <c r="I47" s="8"/>
      <c r="J47" s="9"/>
      <c r="K47" s="8"/>
      <c r="L47" s="8"/>
      <c r="M47" s="8"/>
      <c r="N47" s="8"/>
    </row>
    <row r="48" spans="2:14" x14ac:dyDescent="0.35">
      <c r="B48" s="7" t="s">
        <v>38</v>
      </c>
      <c r="C48" s="8"/>
      <c r="D48" s="24">
        <f>'Financial Ratio'!I23</f>
        <v>0.25224113638202283</v>
      </c>
      <c r="E48" s="24">
        <f>'Financial Ratio'!J23</f>
        <v>0.21733608727050965</v>
      </c>
      <c r="F48" s="24">
        <f>'Financial Ratio'!K23</f>
        <v>0.1607105468646311</v>
      </c>
      <c r="G48" s="24">
        <f>'Financial Ratio'!L23</f>
        <v>0.12153572642166666</v>
      </c>
      <c r="H48" s="24">
        <f>'Financial Ratio'!M23</f>
        <v>9.9662504648051292E-2</v>
      </c>
      <c r="I48" s="8"/>
      <c r="J48" s="9"/>
      <c r="K48" s="8"/>
      <c r="L48" s="8"/>
      <c r="M48" s="8"/>
      <c r="N48" s="8"/>
    </row>
    <row r="49" spans="2:14" x14ac:dyDescent="0.35">
      <c r="B49" s="7" t="s">
        <v>39</v>
      </c>
      <c r="C49" s="8"/>
      <c r="D49" s="71">
        <f>'Financial Ratio'!I16</f>
        <v>5.6425014782620355</v>
      </c>
      <c r="E49" s="71">
        <f>'Financial Ratio'!J16</f>
        <v>5.3402516154005824</v>
      </c>
      <c r="F49" s="71">
        <f>'Financial Ratio'!K16</f>
        <v>4.3229876187325642</v>
      </c>
      <c r="G49" s="71">
        <f>'Financial Ratio'!L16</f>
        <v>4.3462448223821344</v>
      </c>
      <c r="H49" s="71">
        <f>'Financial Ratio'!M16</f>
        <v>3.3486478551538887</v>
      </c>
      <c r="I49" s="8"/>
      <c r="J49" s="9"/>
      <c r="K49" s="8"/>
      <c r="L49" s="8"/>
      <c r="M49" s="8"/>
      <c r="N49" s="8"/>
    </row>
    <row r="50" spans="2:14" x14ac:dyDescent="0.35">
      <c r="B50" s="7" t="s">
        <v>40</v>
      </c>
      <c r="C50" s="8"/>
      <c r="D50" s="71">
        <f>'Financial Ratio'!I17</f>
        <v>4.4049500363969187</v>
      </c>
      <c r="E50" s="71">
        <f>'Financial Ratio'!J17</f>
        <v>4.4908960701940055</v>
      </c>
      <c r="F50" s="71">
        <f>'Financial Ratio'!K17</f>
        <v>3.8065903141981416</v>
      </c>
      <c r="G50" s="71">
        <f>'Financial Ratio'!L17</f>
        <v>3.9180430640179003</v>
      </c>
      <c r="H50" s="71">
        <f>'Financial Ratio'!M17</f>
        <v>3.0343666955295738</v>
      </c>
      <c r="I50" s="8"/>
      <c r="J50" s="9"/>
      <c r="K50" s="8"/>
      <c r="L50" s="8"/>
      <c r="M50" s="8"/>
      <c r="N50" s="8"/>
    </row>
    <row r="51" spans="2:14" x14ac:dyDescent="0.35">
      <c r="B51" s="7" t="s">
        <v>41</v>
      </c>
      <c r="C51" s="8"/>
      <c r="D51" s="71">
        <f>'Financial Ratio'!I18</f>
        <v>4.1755934849602845</v>
      </c>
      <c r="E51" s="71">
        <f>'Financial Ratio'!J18</f>
        <v>4.331059148597574</v>
      </c>
      <c r="F51" s="71">
        <f>'Financial Ratio'!K18</f>
        <v>3.7044407717943488</v>
      </c>
      <c r="G51" s="71">
        <f>'Financial Ratio'!L18</f>
        <v>3.8307777724327789</v>
      </c>
      <c r="H51" s="71">
        <f>'Financial Ratio'!M18</f>
        <v>2.968840628991368</v>
      </c>
      <c r="I51" s="8"/>
      <c r="J51" s="9"/>
      <c r="K51" s="8"/>
      <c r="L51" s="8"/>
      <c r="M51" s="8"/>
      <c r="N51" s="8"/>
    </row>
    <row r="52" spans="2:14" x14ac:dyDescent="0.35">
      <c r="B52" s="7" t="s">
        <v>42</v>
      </c>
      <c r="C52" s="8"/>
      <c r="D52" s="71">
        <f>'Financial Ratio'!I24</f>
        <v>4.1579463656396785</v>
      </c>
      <c r="E52" s="71">
        <f>'Financial Ratio'!J24</f>
        <v>6.0341267108849186</v>
      </c>
      <c r="F52" s="71">
        <f>'Financial Ratio'!K24</f>
        <v>12.818358247935857</v>
      </c>
      <c r="G52" s="71">
        <f>'Financial Ratio'!L24</f>
        <v>18.974879014686479</v>
      </c>
      <c r="H52" s="71">
        <f>'Financial Ratio'!M24</f>
        <v>4.4043125517033515</v>
      </c>
      <c r="I52" s="8"/>
      <c r="J52" s="9"/>
      <c r="K52" s="8"/>
      <c r="L52" s="8"/>
      <c r="M52" s="8"/>
      <c r="N52" s="8"/>
    </row>
    <row r="53" spans="2:14" x14ac:dyDescent="0.35">
      <c r="B53" s="7"/>
      <c r="C53" s="8"/>
      <c r="D53" s="8"/>
      <c r="E53" s="8"/>
      <c r="F53" s="8"/>
      <c r="G53" s="8"/>
      <c r="H53" s="8"/>
      <c r="I53" s="8"/>
      <c r="J53" s="9"/>
      <c r="K53" s="8"/>
      <c r="L53" s="8"/>
      <c r="M53" s="8"/>
      <c r="N53" s="8"/>
    </row>
    <row r="54" spans="2:14" ht="15" thickBot="1" x14ac:dyDescent="0.4">
      <c r="B54" s="10"/>
      <c r="C54" s="11"/>
      <c r="D54" s="11"/>
      <c r="E54" s="11"/>
      <c r="F54" s="11"/>
      <c r="G54" s="11"/>
      <c r="H54" s="11"/>
      <c r="I54" s="11"/>
      <c r="J54" s="12"/>
      <c r="K54" s="8"/>
      <c r="L54" s="8"/>
      <c r="M54" s="8"/>
      <c r="N54" s="8"/>
    </row>
    <row r="55" spans="2:14" x14ac:dyDescent="0.35">
      <c r="B55" s="8"/>
      <c r="C55" s="8"/>
      <c r="D55" s="8"/>
      <c r="E55" s="8"/>
      <c r="F55" s="8"/>
      <c r="G55" s="8"/>
      <c r="H55" s="8"/>
      <c r="I55" s="8"/>
      <c r="J55" s="8"/>
      <c r="K55" s="8"/>
      <c r="L55" s="8"/>
      <c r="M55" s="8"/>
      <c r="N55" s="8"/>
    </row>
    <row r="56" spans="2:14" x14ac:dyDescent="0.35">
      <c r="B56" s="8"/>
      <c r="C56" s="8"/>
      <c r="D56" s="8"/>
      <c r="E56" s="8"/>
      <c r="F56" s="8"/>
      <c r="G56" s="8"/>
      <c r="H56" s="8"/>
      <c r="I56" s="8"/>
      <c r="J56" s="8"/>
      <c r="K56" s="8"/>
      <c r="L56" s="8"/>
      <c r="M56" s="8"/>
      <c r="N56" s="8"/>
    </row>
    <row r="57" spans="2:14" x14ac:dyDescent="0.35">
      <c r="B57" s="8"/>
      <c r="C57" s="8"/>
      <c r="D57" s="8"/>
      <c r="E57" s="8"/>
      <c r="F57" s="8"/>
      <c r="G57" s="8"/>
      <c r="H57" s="8"/>
      <c r="I57" s="8"/>
      <c r="J57" s="8"/>
      <c r="K57" s="8"/>
      <c r="L57" s="8"/>
      <c r="M57" s="8"/>
      <c r="N57" s="8"/>
    </row>
    <row r="58" spans="2:14" x14ac:dyDescent="0.35">
      <c r="B58" s="8"/>
      <c r="C58" s="8"/>
      <c r="D58" s="8"/>
      <c r="E58" s="8"/>
      <c r="F58" s="8"/>
      <c r="G58" s="8"/>
      <c r="H58" s="8"/>
      <c r="I58" s="8"/>
      <c r="J58" s="8"/>
      <c r="K58" s="8"/>
      <c r="L58" s="8"/>
      <c r="M58" s="8"/>
      <c r="N58" s="8"/>
    </row>
    <row r="59" spans="2:14" x14ac:dyDescent="0.35">
      <c r="B59" s="8"/>
      <c r="C59" s="8"/>
      <c r="D59" s="8"/>
      <c r="E59" s="8"/>
      <c r="F59" s="8"/>
      <c r="G59" s="8"/>
      <c r="H59" s="8"/>
      <c r="I59" s="8"/>
      <c r="J59" s="8"/>
      <c r="K59" s="8"/>
      <c r="L59" s="8"/>
      <c r="M59" s="8"/>
      <c r="N59" s="8"/>
    </row>
    <row r="60" spans="2:14" x14ac:dyDescent="0.35">
      <c r="B60" s="8"/>
      <c r="C60" s="8"/>
      <c r="D60" s="8"/>
      <c r="E60" s="8"/>
      <c r="F60" s="8"/>
      <c r="G60" s="8"/>
      <c r="H60" s="8"/>
      <c r="I60" s="8"/>
      <c r="J60" s="8"/>
      <c r="K60" s="8"/>
      <c r="L60" s="8"/>
      <c r="M60" s="8"/>
      <c r="N60" s="8"/>
    </row>
    <row r="61" spans="2:14" x14ac:dyDescent="0.35">
      <c r="B61" s="8"/>
      <c r="C61" s="8"/>
      <c r="D61" s="8"/>
      <c r="E61" s="8"/>
      <c r="F61" s="8"/>
      <c r="G61" s="8"/>
      <c r="H61" s="8"/>
      <c r="I61" s="8"/>
      <c r="J61" s="8"/>
      <c r="K61" s="8"/>
      <c r="L61" s="8"/>
      <c r="M61" s="8"/>
      <c r="N61" s="8"/>
    </row>
    <row r="62" spans="2:14" x14ac:dyDescent="0.35">
      <c r="B62" s="8"/>
      <c r="C62" s="8"/>
      <c r="D62" s="8"/>
      <c r="E62" s="8"/>
      <c r="F62" s="8"/>
      <c r="G62" s="8"/>
      <c r="H62" s="8"/>
      <c r="I62" s="8"/>
      <c r="J62" s="8"/>
      <c r="K62" s="8"/>
      <c r="L62" s="8"/>
      <c r="M62" s="8"/>
      <c r="N62" s="8"/>
    </row>
    <row r="63" spans="2:14" x14ac:dyDescent="0.35">
      <c r="B63" s="8"/>
      <c r="C63" s="8"/>
      <c r="D63" s="8"/>
      <c r="E63" s="8"/>
      <c r="F63" s="8"/>
      <c r="G63" s="8"/>
      <c r="H63" s="8"/>
      <c r="I63" s="8"/>
      <c r="J63" s="8"/>
      <c r="K63" s="8"/>
      <c r="L63" s="8"/>
      <c r="M63" s="8"/>
      <c r="N63" s="8"/>
    </row>
    <row r="64" spans="2:14" x14ac:dyDescent="0.35">
      <c r="B64" s="8"/>
      <c r="C64" s="8"/>
      <c r="D64" s="8"/>
      <c r="E64" s="8"/>
      <c r="F64" s="8"/>
      <c r="G64" s="8"/>
      <c r="H64" s="8"/>
      <c r="I64" s="8"/>
      <c r="J64" s="8"/>
      <c r="K64" s="8"/>
      <c r="L64" s="8"/>
      <c r="M64" s="8"/>
      <c r="N64" s="8"/>
    </row>
    <row r="65" spans="2:14" x14ac:dyDescent="0.35">
      <c r="B65" s="8"/>
      <c r="C65" s="8"/>
      <c r="D65" s="8"/>
      <c r="E65" s="8"/>
      <c r="F65" s="8"/>
      <c r="G65" s="8"/>
      <c r="H65" s="8"/>
      <c r="I65" s="8"/>
      <c r="J65" s="8"/>
      <c r="K65" s="8"/>
      <c r="L65" s="8"/>
      <c r="M65" s="8"/>
      <c r="N65" s="8"/>
    </row>
    <row r="66" spans="2:14" x14ac:dyDescent="0.35">
      <c r="B66" s="8"/>
      <c r="C66" s="8"/>
      <c r="D66" s="8"/>
      <c r="E66" s="8"/>
      <c r="F66" s="8"/>
      <c r="G66" s="8"/>
      <c r="H66" s="8"/>
      <c r="I66" s="8"/>
      <c r="J66" s="8"/>
      <c r="K66" s="8"/>
      <c r="L66" s="8"/>
      <c r="M66" s="8"/>
      <c r="N66" s="8"/>
    </row>
    <row r="67" spans="2:14" x14ac:dyDescent="0.35">
      <c r="B67" s="8"/>
      <c r="C67" s="8"/>
      <c r="D67" s="8"/>
      <c r="E67" s="8"/>
      <c r="F67" s="8"/>
      <c r="G67" s="8"/>
      <c r="H67" s="8"/>
      <c r="I67" s="8"/>
      <c r="J67" s="8"/>
      <c r="K67" s="8"/>
      <c r="L67" s="8"/>
      <c r="M67" s="8"/>
      <c r="N67" s="8"/>
    </row>
    <row r="68" spans="2:14" x14ac:dyDescent="0.35">
      <c r="B68" s="8"/>
      <c r="C68" s="8"/>
      <c r="D68" s="8"/>
      <c r="E68" s="8"/>
      <c r="F68" s="8"/>
      <c r="G68" s="8"/>
      <c r="H68" s="8"/>
      <c r="I68" s="8"/>
      <c r="J68" s="8"/>
      <c r="K68" s="8"/>
      <c r="L68" s="8"/>
      <c r="M68" s="8"/>
      <c r="N68" s="8"/>
    </row>
    <row r="69" spans="2:14" x14ac:dyDescent="0.35">
      <c r="B69" s="8"/>
      <c r="C69" s="8"/>
      <c r="D69" s="8"/>
      <c r="E69" s="8"/>
      <c r="F69" s="8"/>
      <c r="G69" s="8"/>
      <c r="H69" s="8"/>
      <c r="I69" s="8"/>
      <c r="J69" s="8"/>
      <c r="K69" s="8"/>
      <c r="L69" s="8"/>
      <c r="M69" s="8"/>
      <c r="N69" s="8"/>
    </row>
    <row r="70" spans="2:14" x14ac:dyDescent="0.35">
      <c r="B70" s="8"/>
      <c r="C70" s="8"/>
      <c r="D70" s="8"/>
      <c r="E70" s="8"/>
      <c r="F70" s="8"/>
      <c r="G70" s="8"/>
      <c r="H70" s="8"/>
      <c r="I70" s="8"/>
      <c r="J70" s="8"/>
      <c r="K70" s="8"/>
      <c r="L70" s="8"/>
      <c r="M70" s="8"/>
      <c r="N70" s="8"/>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Drop Down 1">
              <controlPr defaultSize="0" autoLine="0" autoPict="0">
                <anchor moveWithCells="1">
                  <from>
                    <xdr:col>1</xdr:col>
                    <xdr:colOff>838200</xdr:colOff>
                    <xdr:row>0</xdr:row>
                    <xdr:rowOff>107950</xdr:rowOff>
                  </from>
                  <to>
                    <xdr:col>2</xdr:col>
                    <xdr:colOff>831850</xdr:colOff>
                    <xdr:row>1</xdr:row>
                    <xdr:rowOff>95250</xdr:rowOff>
                  </to>
                </anchor>
              </controlPr>
            </control>
          </mc:Choice>
        </mc:AlternateContent>
      </controls>
    </mc:Choice>
  </mc:AlternateContent>
  <extLst>
    <ext xmlns:x14="http://schemas.microsoft.com/office/spreadsheetml/2009/9/main" uri="{05C60535-1F16-4fd2-B633-F4F36F0B64E0}">
      <x14:sparklineGroups xmlns:xm="http://schemas.microsoft.com/office/excel/2006/main">
        <x14:sparklineGroup displayEmptyCellsAs="gap" xr2:uid="{9E829EE0-54A8-4FDF-82C6-3CAC715A508E}">
          <x14:colorSeries rgb="FF376092"/>
          <x14:colorNegative rgb="FFD00000"/>
          <x14:colorAxis rgb="FF000000"/>
          <x14:colorMarkers rgb="FFD00000"/>
          <x14:colorFirst rgb="FFD00000"/>
          <x14:colorLast rgb="FFD00000"/>
          <x14:colorHigh rgb="FFD00000"/>
          <x14:colorLow rgb="FFD00000"/>
          <x14:sparklines>
            <x14:sparkline>
              <xm:f>'Summary Page'!D41:H41</xm:f>
              <xm:sqref>I41</xm:sqref>
            </x14:sparkline>
            <x14:sparkline>
              <xm:f>'Summary Page'!D42:H42</xm:f>
              <xm:sqref>I42</xm:sqref>
            </x14:sparkline>
            <x14:sparkline>
              <xm:f>'Summary Page'!D43:H43</xm:f>
              <xm:sqref>I43</xm:sqref>
            </x14:sparkline>
            <x14:sparkline>
              <xm:f>'Summary Page'!D44:H44</xm:f>
              <xm:sqref>I44</xm:sqref>
            </x14:sparkline>
            <x14:sparkline>
              <xm:f>'Summary Page'!D45:H45</xm:f>
              <xm:sqref>I45</xm:sqref>
            </x14:sparkline>
            <x14:sparkline>
              <xm:f>'Summary Page'!D46:H46</xm:f>
              <xm:sqref>I46</xm:sqref>
            </x14:sparkline>
            <x14:sparkline>
              <xm:f>'Summary Page'!D47:H47</xm:f>
              <xm:sqref>I47</xm:sqref>
            </x14:sparkline>
            <x14:sparkline>
              <xm:f>'Summary Page'!D48:H48</xm:f>
              <xm:sqref>I48</xm:sqref>
            </x14:sparkline>
            <x14:sparkline>
              <xm:f>'Summary Page'!D49:H49</xm:f>
              <xm:sqref>I49</xm:sqref>
            </x14:sparkline>
            <x14:sparkline>
              <xm:f>'Summary Page'!D50:H50</xm:f>
              <xm:sqref>I50</xm:sqref>
            </x14:sparkline>
            <x14:sparkline>
              <xm:f>'Summary Page'!D51:H51</xm:f>
              <xm:sqref>I51</xm:sqref>
            </x14:sparkline>
            <x14:sparkline>
              <xm:f>'Summary Page'!D52:H52</xm:f>
              <xm:sqref>I52</xm:sqref>
            </x14:sparkline>
          </x14:sparklines>
        </x14:sparklineGroup>
        <x14:sparklineGroup displayEmptyCellsAs="gap" xr2:uid="{538A4D2D-0E09-477E-B5C4-999C2591E15E}">
          <x14:colorSeries rgb="FF376092"/>
          <x14:colorNegative rgb="FFD00000"/>
          <x14:colorAxis rgb="FF000000"/>
          <x14:colorMarkers rgb="FFD00000"/>
          <x14:colorFirst rgb="FFD00000"/>
          <x14:colorLast rgb="FFD00000"/>
          <x14:colorHigh rgb="FFD00000"/>
          <x14:colorLow rgb="FFD00000"/>
          <x14:sparklines>
            <x14:sparkline>
              <xm:f>'Summary Page'!D34:H34</xm:f>
              <xm:sqref>I34</xm:sqref>
            </x14:sparkline>
            <x14:sparkline>
              <xm:f>'Summary Page'!D35:H35</xm:f>
              <xm:sqref>I35</xm:sqref>
            </x14:sparkline>
            <x14:sparkline>
              <xm:f>'Summary Page'!D36:H36</xm:f>
              <xm:sqref>I36</xm:sqref>
            </x14:sparkline>
            <x14:sparkline>
              <xm:f>'Summary Page'!D37:H37</xm:f>
              <xm:sqref>I37</xm:sqref>
            </x14:sparkline>
            <x14:sparkline>
              <xm:f>'Summary Page'!D38:H38</xm:f>
              <xm:sqref>I38</xm:sqref>
            </x14:sparkline>
          </x14:sparklines>
        </x14:sparklineGroup>
        <x14:sparklineGroup displayEmptyCellsAs="gap" xr2:uid="{10380D3B-A391-45BC-A91C-A43CFCA0A0CD}">
          <x14:colorSeries rgb="FF376092"/>
          <x14:colorNegative rgb="FFD00000"/>
          <x14:colorAxis rgb="FF000000"/>
          <x14:colorMarkers rgb="FFD00000"/>
          <x14:colorFirst rgb="FFD00000"/>
          <x14:colorLast rgb="FFD00000"/>
          <x14:colorHigh rgb="FFD00000"/>
          <x14:colorLow rgb="FFD00000"/>
          <x14:sparklines>
            <x14:sparkline>
              <xm:f>'Summary Page'!D28:H28</xm:f>
              <xm:sqref>I28</xm:sqref>
            </x14:sparkline>
            <x14:sparkline>
              <xm:f>'Summary Page'!D29:H29</xm:f>
              <xm:sqref>I29</xm:sqref>
            </x14:sparkline>
            <x14:sparkline>
              <xm:f>'Summary Page'!D30:H30</xm:f>
              <xm:sqref>I30</xm:sqref>
            </x14:sparkline>
            <x14:sparkline>
              <xm:f>'Summary Page'!D31:H31</xm:f>
              <xm:sqref>I31</xm:sqref>
            </x14:sparkline>
          </x14:sparklines>
        </x14:sparklineGroup>
        <x14:sparklineGroup displayEmptyCellsAs="gap" xr2:uid="{4088B4CC-3933-486E-91F2-6620F5FDD292}">
          <x14:colorSeries rgb="FF376092"/>
          <x14:colorNegative rgb="FFD00000"/>
          <x14:colorAxis rgb="FF000000"/>
          <x14:colorMarkers rgb="FFD00000"/>
          <x14:colorFirst rgb="FFD00000"/>
          <x14:colorLast rgb="FFD00000"/>
          <x14:colorHigh rgb="FFD00000"/>
          <x14:colorLow rgb="FFD00000"/>
          <x14:sparklines>
            <x14:sparkline>
              <xm:f>'Summary Page'!D23:H23</xm:f>
              <xm:sqref>I23</xm:sqref>
            </x14:sparkline>
            <x14:sparkline>
              <xm:f>'Summary Page'!D24:H24</xm:f>
              <xm:sqref>I24</xm:sqref>
            </x14:sparkline>
            <x14:sparkline>
              <xm:f>'Summary Page'!D25:H25</xm:f>
              <xm:sqref>I25</xm:sqref>
            </x14:sparkline>
            <x14:sparkline>
              <xm:f>'Summary Page'!D26:H26</xm:f>
              <xm:sqref>I26</xm:sqref>
            </x14:sparkline>
          </x14:sparklines>
        </x14:sparklineGroup>
        <x14:sparklineGroup displayEmptyCellsAs="gap" xr2:uid="{F04B7134-91FB-4926-BA4C-4949206DA70A}">
          <x14:colorSeries rgb="FF376092"/>
          <x14:colorNegative rgb="FFD00000"/>
          <x14:colorAxis rgb="FF000000"/>
          <x14:colorMarkers rgb="FFD00000"/>
          <x14:colorFirst rgb="FFD00000"/>
          <x14:colorLast rgb="FFD00000"/>
          <x14:colorHigh rgb="FFD00000"/>
          <x14:colorLow rgb="FFD00000"/>
          <x14:sparklines>
            <x14:sparkline>
              <xm:f>'Summary Page'!D14:H14</xm:f>
              <xm:sqref>I14</xm:sqref>
            </x14:sparkline>
            <x14:sparkline>
              <xm:f>'Summary Page'!D15:H15</xm:f>
              <xm:sqref>I15</xm:sqref>
            </x14:sparkline>
            <x14:sparkline>
              <xm:f>'Summary Page'!D16:H16</xm:f>
              <xm:sqref>I16</xm:sqref>
            </x14:sparkline>
            <x14:sparkline>
              <xm:f>'Summary Page'!D17:H17</xm:f>
              <xm:sqref>I17</xm:sqref>
            </x14:sparkline>
            <x14:sparkline>
              <xm:f>'Summary Page'!D18:H18</xm:f>
              <xm:sqref>I18</xm:sqref>
            </x14:sparkline>
            <x14:sparkline>
              <xm:f>'Summary Page'!D19:H19</xm:f>
              <xm:sqref>I19</xm:sqref>
            </x14:sparkline>
            <x14:sparkline>
              <xm:f>'Summary Page'!D20:H20</xm:f>
              <xm:sqref>I20</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D50F5-D227-4709-ABC2-6B34E470261B}">
  <dimension ref="B1:N14"/>
  <sheetViews>
    <sheetView showGridLines="0" workbookViewId="0">
      <selection activeCell="N2" sqref="N2"/>
    </sheetView>
  </sheetViews>
  <sheetFormatPr defaultRowHeight="14.5" x14ac:dyDescent="0.35"/>
  <cols>
    <col min="4" max="4" width="22.54296875" customWidth="1"/>
    <col min="14" max="14" width="10.08984375" bestFit="1" customWidth="1"/>
  </cols>
  <sheetData>
    <row r="1" spans="2:14" x14ac:dyDescent="0.35">
      <c r="B1" t="s">
        <v>43</v>
      </c>
      <c r="D1" t="s">
        <v>6</v>
      </c>
      <c r="M1" t="s">
        <v>44</v>
      </c>
      <c r="N1" s="99">
        <f ca="1">TODAY()</f>
        <v>45735</v>
      </c>
    </row>
    <row r="3" spans="2:14" ht="28.5" x14ac:dyDescent="0.65">
      <c r="C3" s="15" t="s">
        <v>45</v>
      </c>
      <c r="D3" s="15"/>
      <c r="E3" s="15"/>
      <c r="F3" s="15"/>
      <c r="G3" s="15"/>
      <c r="H3" s="15"/>
      <c r="I3" s="15"/>
      <c r="J3" s="15"/>
      <c r="K3" s="15"/>
      <c r="L3" s="15"/>
      <c r="M3" s="15"/>
    </row>
    <row r="5" spans="2:14" ht="15" thickBot="1" x14ac:dyDescent="0.4">
      <c r="C5" s="19" t="s">
        <v>46</v>
      </c>
      <c r="D5" s="19" t="s">
        <v>47</v>
      </c>
    </row>
    <row r="6" spans="2:14" x14ac:dyDescent="0.35">
      <c r="C6" s="18">
        <v>1</v>
      </c>
      <c r="D6" s="20" t="s">
        <v>48</v>
      </c>
    </row>
    <row r="7" spans="2:14" x14ac:dyDescent="0.35">
      <c r="C7" s="18">
        <v>2</v>
      </c>
      <c r="D7" s="20" t="s">
        <v>49</v>
      </c>
    </row>
    <row r="8" spans="2:14" x14ac:dyDescent="0.35">
      <c r="C8" s="18">
        <v>3</v>
      </c>
      <c r="D8" s="20" t="s">
        <v>50</v>
      </c>
    </row>
    <row r="9" spans="2:14" x14ac:dyDescent="0.35">
      <c r="C9" s="18">
        <v>4</v>
      </c>
      <c r="D9" s="20" t="s">
        <v>51</v>
      </c>
      <c r="F9" s="8"/>
    </row>
    <row r="10" spans="2:14" x14ac:dyDescent="0.35">
      <c r="C10" s="18">
        <v>5</v>
      </c>
      <c r="D10" s="20" t="s">
        <v>52</v>
      </c>
    </row>
    <row r="11" spans="2:14" x14ac:dyDescent="0.35">
      <c r="C11" s="18">
        <v>6</v>
      </c>
      <c r="D11" s="20" t="s">
        <v>53</v>
      </c>
    </row>
    <row r="12" spans="2:14" x14ac:dyDescent="0.35">
      <c r="C12" s="18">
        <v>7</v>
      </c>
      <c r="D12" s="20" t="s">
        <v>54</v>
      </c>
    </row>
    <row r="13" spans="2:14" x14ac:dyDescent="0.35">
      <c r="C13" s="18">
        <v>8</v>
      </c>
      <c r="D13" s="20" t="s">
        <v>56</v>
      </c>
    </row>
    <row r="14" spans="2:14" x14ac:dyDescent="0.35">
      <c r="C14" s="18">
        <v>9</v>
      </c>
      <c r="D14" s="20" t="s">
        <v>55</v>
      </c>
    </row>
  </sheetData>
  <hyperlinks>
    <hyperlink ref="D6" location="Dashboard!A1" display="Dashboard" xr:uid="{FA55E68E-958E-41EA-B067-A7B8953212F5}"/>
    <hyperlink ref="D7" location="Assumption!A1" display="Assumption" xr:uid="{A798D03B-AD2B-48B8-8AE6-74DCE0A5B824}"/>
    <hyperlink ref="D8" location="Workings!A1" display="Workings" xr:uid="{2EA350E4-286A-4EBC-9194-7EEFA6E819B6}"/>
    <hyperlink ref="D9" location="'Income Statement'!A1" display="Income statement" xr:uid="{2C671627-544F-442A-A4C7-25968064DEDE}"/>
    <hyperlink ref="D10" location="'Financial Position'!A1" display="Financial Position" xr:uid="{EE35028E-3D0A-4544-9C9B-B052EC639D7F}"/>
    <hyperlink ref="D11" location="Cashflow!A1" display="Cashflow" xr:uid="{21F573A9-E993-4684-BF08-F09E89857EDC}"/>
    <hyperlink ref="D12" location="Valuation!A1" display="Valuation" xr:uid="{28E34639-5A35-4B63-A926-874FD7FED9BF}"/>
    <hyperlink ref="D13" location="'Financial Ratio'!A1" display="Financial Ratio" xr:uid="{F4674D76-93E9-44FC-A05C-925C96ED389E}"/>
    <hyperlink ref="D14" location="'Data 1'!A1" display="Data 1" xr:uid="{EBB5983B-E68D-416A-86B1-89E1C8EEAEE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1A6B6-E059-4D84-88A8-4E08AA413BA9}">
  <dimension ref="B1:N3"/>
  <sheetViews>
    <sheetView zoomScale="90" zoomScaleNormal="90" workbookViewId="0">
      <selection activeCell="T21" sqref="T21"/>
    </sheetView>
  </sheetViews>
  <sheetFormatPr defaultRowHeight="14.5" x14ac:dyDescent="0.35"/>
  <cols>
    <col min="1" max="13" width="8.7265625" style="96"/>
    <col min="14" max="14" width="10.1796875" style="96" bestFit="1" customWidth="1"/>
    <col min="15" max="16384" width="8.7265625" style="96"/>
  </cols>
  <sheetData>
    <row r="1" spans="2:14" x14ac:dyDescent="0.35">
      <c r="B1" s="96" t="s">
        <v>43</v>
      </c>
      <c r="M1" s="96" t="s">
        <v>44</v>
      </c>
      <c r="N1" s="100">
        <f ca="1">TODAY()</f>
        <v>45735</v>
      </c>
    </row>
    <row r="3" spans="2:14" ht="28.5" x14ac:dyDescent="0.65">
      <c r="C3" s="97"/>
      <c r="D3" s="97"/>
      <c r="E3" s="97"/>
      <c r="F3" s="97"/>
      <c r="G3" s="97"/>
      <c r="H3" s="97"/>
      <c r="I3" s="97"/>
      <c r="J3" s="97"/>
      <c r="K3" s="97"/>
      <c r="L3" s="97"/>
      <c r="M3" s="97"/>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Drop Down 1">
              <controlPr defaultSize="0" autoLine="0" autoPict="0">
                <anchor moveWithCells="1">
                  <from>
                    <xdr:col>6</xdr:col>
                    <xdr:colOff>177800</xdr:colOff>
                    <xdr:row>3</xdr:row>
                    <xdr:rowOff>107950</xdr:rowOff>
                  </from>
                  <to>
                    <xdr:col>8</xdr:col>
                    <xdr:colOff>158750</xdr:colOff>
                    <xdr:row>5</xdr:row>
                    <xdr:rowOff>88900</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5468D-DB4D-4715-97CC-6EF36B33A41C}">
  <dimension ref="B1:N138"/>
  <sheetViews>
    <sheetView showGridLines="0" workbookViewId="0">
      <pane ySplit="5" topLeftCell="A6" activePane="bottomLeft" state="frozen"/>
      <selection activeCell="N2" sqref="N2"/>
      <selection pane="bottomLeft" activeCell="N1" sqref="N1"/>
    </sheetView>
  </sheetViews>
  <sheetFormatPr defaultRowHeight="14.5" x14ac:dyDescent="0.35"/>
  <cols>
    <col min="3" max="3" width="21.7265625" customWidth="1"/>
    <col min="4" max="4" width="19.26953125" customWidth="1"/>
    <col min="5" max="5" width="14.453125" customWidth="1"/>
    <col min="7" max="7" width="11.1796875" bestFit="1" customWidth="1"/>
    <col min="8" max="8" width="11.6328125" customWidth="1"/>
    <col min="10" max="10" width="13.81640625" bestFit="1" customWidth="1"/>
    <col min="11" max="13" width="12.7265625" bestFit="1" customWidth="1"/>
    <col min="14" max="14" width="13.81640625" bestFit="1" customWidth="1"/>
  </cols>
  <sheetData>
    <row r="1" spans="2:14" x14ac:dyDescent="0.35">
      <c r="B1" t="s">
        <v>43</v>
      </c>
      <c r="D1" t="s">
        <v>6</v>
      </c>
      <c r="M1" t="s">
        <v>44</v>
      </c>
      <c r="N1" s="99">
        <f ca="1">TODAY()</f>
        <v>45735</v>
      </c>
    </row>
    <row r="2" spans="2:14" x14ac:dyDescent="0.35">
      <c r="E2" s="61">
        <v>1</v>
      </c>
    </row>
    <row r="3" spans="2:14" ht="28.5" x14ac:dyDescent="0.65">
      <c r="C3" s="15" t="s">
        <v>49</v>
      </c>
      <c r="D3" s="15"/>
      <c r="E3" s="15"/>
      <c r="F3" s="15"/>
      <c r="G3" s="15"/>
      <c r="H3" s="15"/>
      <c r="I3" s="15"/>
      <c r="J3" s="15"/>
      <c r="K3" s="15"/>
      <c r="L3" s="15"/>
      <c r="M3" s="15"/>
      <c r="N3" s="15"/>
    </row>
    <row r="5" spans="2:14" x14ac:dyDescent="0.35">
      <c r="I5" s="1">
        <v>2024</v>
      </c>
      <c r="J5" s="1">
        <v>2025</v>
      </c>
      <c r="K5" s="1">
        <v>2026</v>
      </c>
      <c r="L5" s="1">
        <v>2027</v>
      </c>
      <c r="M5" s="1">
        <v>2028</v>
      </c>
      <c r="N5" s="1">
        <v>2029</v>
      </c>
    </row>
    <row r="6" spans="2:14" x14ac:dyDescent="0.35">
      <c r="C6" t="s">
        <v>57</v>
      </c>
      <c r="J6" s="16">
        <v>6</v>
      </c>
      <c r="K6" s="16">
        <v>6</v>
      </c>
      <c r="L6" s="16">
        <v>6</v>
      </c>
      <c r="M6" s="16">
        <v>6</v>
      </c>
      <c r="N6" s="16">
        <v>6</v>
      </c>
    </row>
    <row r="7" spans="2:14" x14ac:dyDescent="0.35">
      <c r="C7" t="s">
        <v>61</v>
      </c>
      <c r="J7" s="16">
        <v>4</v>
      </c>
      <c r="K7" s="16">
        <v>4</v>
      </c>
      <c r="L7" s="16">
        <v>4</v>
      </c>
      <c r="M7" s="16">
        <v>4</v>
      </c>
      <c r="N7" s="16">
        <v>4</v>
      </c>
    </row>
    <row r="8" spans="2:14" x14ac:dyDescent="0.35">
      <c r="C8" t="s">
        <v>58</v>
      </c>
      <c r="J8" s="16">
        <v>12</v>
      </c>
      <c r="K8" s="16">
        <v>12</v>
      </c>
      <c r="L8" s="16">
        <v>12</v>
      </c>
      <c r="M8" s="16">
        <v>12</v>
      </c>
      <c r="N8" s="16">
        <v>12</v>
      </c>
    </row>
    <row r="9" spans="2:14" x14ac:dyDescent="0.35">
      <c r="C9" t="s">
        <v>59</v>
      </c>
      <c r="J9" s="16">
        <v>4</v>
      </c>
      <c r="K9" s="16">
        <v>4</v>
      </c>
      <c r="L9" s="16">
        <v>4</v>
      </c>
      <c r="M9" s="16">
        <v>4</v>
      </c>
      <c r="N9" s="16">
        <v>4</v>
      </c>
    </row>
    <row r="10" spans="2:14" x14ac:dyDescent="0.35">
      <c r="C10" t="s">
        <v>60</v>
      </c>
      <c r="J10" s="77">
        <v>0.24979999999999999</v>
      </c>
      <c r="K10" s="77">
        <v>0.15190000000000001</v>
      </c>
      <c r="L10" s="77">
        <v>0.15379999999999999</v>
      </c>
      <c r="M10" s="77">
        <v>0.14000000000000001</v>
      </c>
      <c r="N10" s="77">
        <v>0.14000000000000001</v>
      </c>
    </row>
    <row r="12" spans="2:14" x14ac:dyDescent="0.35">
      <c r="D12" t="s">
        <v>62</v>
      </c>
      <c r="E12" s="24">
        <v>0.2</v>
      </c>
    </row>
    <row r="13" spans="2:14" x14ac:dyDescent="0.35">
      <c r="D13" t="s">
        <v>63</v>
      </c>
      <c r="E13" s="24">
        <v>0.25</v>
      </c>
    </row>
    <row r="14" spans="2:14" x14ac:dyDescent="0.35">
      <c r="D14" t="s">
        <v>64</v>
      </c>
      <c r="E14" s="24">
        <v>0.3</v>
      </c>
    </row>
    <row r="15" spans="2:14" x14ac:dyDescent="0.35">
      <c r="D15" t="s">
        <v>65</v>
      </c>
      <c r="E15" s="87">
        <v>0.32500000000000001</v>
      </c>
    </row>
    <row r="16" spans="2:14" x14ac:dyDescent="0.35">
      <c r="D16" t="s">
        <v>66</v>
      </c>
      <c r="E16" s="87">
        <v>4.1700000000000001E-2</v>
      </c>
    </row>
    <row r="17" spans="3:14" x14ac:dyDescent="0.35">
      <c r="D17" t="s">
        <v>67</v>
      </c>
      <c r="E17" s="24">
        <v>0.54</v>
      </c>
    </row>
    <row r="20" spans="3:14" x14ac:dyDescent="0.35">
      <c r="C20" s="1" t="s">
        <v>43</v>
      </c>
    </row>
    <row r="21" spans="3:14" x14ac:dyDescent="0.35">
      <c r="D21" t="s">
        <v>68</v>
      </c>
      <c r="E21" s="24">
        <v>1.2</v>
      </c>
    </row>
    <row r="22" spans="3:14" x14ac:dyDescent="0.35">
      <c r="D22" t="s">
        <v>69</v>
      </c>
      <c r="E22" s="24">
        <v>1</v>
      </c>
    </row>
    <row r="23" spans="3:14" x14ac:dyDescent="0.35">
      <c r="D23" t="s">
        <v>70</v>
      </c>
      <c r="E23" s="24">
        <v>0.8</v>
      </c>
    </row>
    <row r="26" spans="3:14" x14ac:dyDescent="0.35">
      <c r="C26" s="25" t="s">
        <v>71</v>
      </c>
      <c r="D26" s="26"/>
      <c r="E26" s="26"/>
      <c r="F26" s="26"/>
      <c r="G26" s="26"/>
      <c r="H26" s="26"/>
      <c r="I26" s="26"/>
      <c r="J26" s="26"/>
      <c r="K26" s="26"/>
      <c r="L26" s="26"/>
      <c r="M26" s="26"/>
      <c r="N26" s="26"/>
    </row>
    <row r="27" spans="3:14" x14ac:dyDescent="0.35">
      <c r="D27" t="s">
        <v>72</v>
      </c>
    </row>
    <row r="28" spans="3:14" x14ac:dyDescent="0.35">
      <c r="D28" t="s">
        <v>73</v>
      </c>
      <c r="G28" t="s">
        <v>88</v>
      </c>
      <c r="J28" s="16">
        <v>120</v>
      </c>
      <c r="K28" s="16">
        <v>130</v>
      </c>
      <c r="L28" s="16">
        <v>160</v>
      </c>
      <c r="M28" s="16">
        <v>190</v>
      </c>
      <c r="N28" s="16">
        <v>210</v>
      </c>
    </row>
    <row r="29" spans="3:14" x14ac:dyDescent="0.35">
      <c r="D29" t="s">
        <v>74</v>
      </c>
      <c r="G29" t="s">
        <v>89</v>
      </c>
      <c r="J29" s="16">
        <v>960</v>
      </c>
      <c r="K29" s="16">
        <v>970</v>
      </c>
      <c r="L29" s="16">
        <v>1000</v>
      </c>
      <c r="M29" s="16">
        <v>1000</v>
      </c>
      <c r="N29" s="16">
        <v>1000</v>
      </c>
    </row>
    <row r="30" spans="3:14" x14ac:dyDescent="0.35">
      <c r="J30" s="16"/>
      <c r="K30" s="16"/>
      <c r="L30" s="16"/>
      <c r="M30" s="16"/>
      <c r="N30" s="16"/>
    </row>
    <row r="31" spans="3:14" x14ac:dyDescent="0.35">
      <c r="D31" t="s">
        <v>75</v>
      </c>
      <c r="J31" s="16"/>
      <c r="K31" s="16"/>
      <c r="L31" s="16"/>
      <c r="M31" s="16"/>
      <c r="N31" s="16"/>
    </row>
    <row r="32" spans="3:14" x14ac:dyDescent="0.35">
      <c r="D32" t="s">
        <v>73</v>
      </c>
      <c r="G32" t="s">
        <v>88</v>
      </c>
      <c r="J32" s="16">
        <v>110</v>
      </c>
      <c r="K32" s="16">
        <v>120</v>
      </c>
      <c r="L32" s="16">
        <v>140</v>
      </c>
      <c r="M32" s="16">
        <v>170</v>
      </c>
      <c r="N32" s="16">
        <v>210</v>
      </c>
    </row>
    <row r="33" spans="3:14" x14ac:dyDescent="0.35">
      <c r="D33" t="s">
        <v>74</v>
      </c>
      <c r="G33" t="s">
        <v>89</v>
      </c>
      <c r="J33" s="16">
        <v>970</v>
      </c>
      <c r="K33" s="16">
        <v>970</v>
      </c>
      <c r="L33" s="16">
        <v>980</v>
      </c>
      <c r="M33" s="16">
        <v>1000</v>
      </c>
      <c r="N33" s="16">
        <v>1050</v>
      </c>
    </row>
    <row r="34" spans="3:14" x14ac:dyDescent="0.35">
      <c r="J34" s="16"/>
      <c r="K34" s="16"/>
      <c r="L34" s="16"/>
      <c r="M34" s="16"/>
      <c r="N34" s="16"/>
    </row>
    <row r="35" spans="3:14" x14ac:dyDescent="0.35">
      <c r="D35" t="s">
        <v>76</v>
      </c>
      <c r="J35" s="16"/>
      <c r="K35" s="16"/>
      <c r="L35" s="16"/>
      <c r="M35" s="16"/>
      <c r="N35" s="16"/>
    </row>
    <row r="36" spans="3:14" x14ac:dyDescent="0.35">
      <c r="D36" t="s">
        <v>73</v>
      </c>
      <c r="G36" t="s">
        <v>88</v>
      </c>
      <c r="J36" s="16">
        <v>100</v>
      </c>
      <c r="K36" s="16">
        <v>100</v>
      </c>
      <c r="L36" s="16">
        <v>120</v>
      </c>
      <c r="M36" s="16">
        <v>150</v>
      </c>
      <c r="N36" s="16">
        <v>190</v>
      </c>
    </row>
    <row r="37" spans="3:14" x14ac:dyDescent="0.35">
      <c r="D37" t="s">
        <v>74</v>
      </c>
      <c r="G37" t="s">
        <v>89</v>
      </c>
      <c r="J37" s="16">
        <v>1000</v>
      </c>
      <c r="K37" s="16">
        <v>1000</v>
      </c>
      <c r="L37" s="16">
        <v>1100</v>
      </c>
      <c r="M37" s="16">
        <v>1100</v>
      </c>
      <c r="N37" s="16">
        <v>1100</v>
      </c>
    </row>
    <row r="38" spans="3:14" x14ac:dyDescent="0.35">
      <c r="J38" s="16"/>
      <c r="K38" s="16"/>
      <c r="L38" s="16"/>
      <c r="M38" s="16"/>
      <c r="N38" s="16"/>
    </row>
    <row r="39" spans="3:14" x14ac:dyDescent="0.35">
      <c r="D39" t="s">
        <v>77</v>
      </c>
      <c r="J39" s="16"/>
      <c r="K39" s="16"/>
      <c r="L39" s="16"/>
      <c r="M39" s="16"/>
      <c r="N39" s="16"/>
    </row>
    <row r="40" spans="3:14" x14ac:dyDescent="0.35">
      <c r="D40" t="s">
        <v>73</v>
      </c>
      <c r="G40" t="s">
        <v>88</v>
      </c>
      <c r="J40" s="16">
        <v>110</v>
      </c>
      <c r="K40" s="16">
        <v>120</v>
      </c>
      <c r="L40" s="16">
        <v>170</v>
      </c>
      <c r="M40" s="16">
        <v>200</v>
      </c>
      <c r="N40" s="16">
        <v>220</v>
      </c>
    </row>
    <row r="41" spans="3:14" x14ac:dyDescent="0.35">
      <c r="D41" t="s">
        <v>74</v>
      </c>
      <c r="G41" t="s">
        <v>89</v>
      </c>
      <c r="J41" s="16">
        <v>970</v>
      </c>
      <c r="K41" s="16">
        <v>980</v>
      </c>
      <c r="L41" s="16">
        <v>1000</v>
      </c>
      <c r="M41" s="16">
        <v>1000</v>
      </c>
      <c r="N41" s="16">
        <v>1000</v>
      </c>
    </row>
    <row r="43" spans="3:14" x14ac:dyDescent="0.35">
      <c r="C43" s="25" t="s">
        <v>9</v>
      </c>
      <c r="D43" s="26"/>
      <c r="E43" s="26"/>
      <c r="F43" s="26"/>
      <c r="G43" s="26"/>
      <c r="H43" s="26"/>
      <c r="I43" s="26"/>
      <c r="J43" s="26"/>
      <c r="K43" s="26"/>
      <c r="L43" s="26"/>
      <c r="M43" s="26"/>
      <c r="N43" s="26"/>
    </row>
    <row r="44" spans="3:14" x14ac:dyDescent="0.35">
      <c r="D44" s="1" t="s">
        <v>78</v>
      </c>
    </row>
    <row r="45" spans="3:14" x14ac:dyDescent="0.35">
      <c r="D45" t="s">
        <v>79</v>
      </c>
      <c r="J45" s="24">
        <v>0.06</v>
      </c>
      <c r="K45" s="24">
        <v>0.06</v>
      </c>
      <c r="L45" s="24">
        <v>0.06</v>
      </c>
      <c r="M45" s="24">
        <v>0.06</v>
      </c>
      <c r="N45" s="24">
        <v>0.06</v>
      </c>
    </row>
    <row r="46" spans="3:14" x14ac:dyDescent="0.35">
      <c r="D46" t="s">
        <v>80</v>
      </c>
      <c r="J46" s="24">
        <v>0.06</v>
      </c>
      <c r="K46" s="24">
        <v>0.06</v>
      </c>
      <c r="L46" s="24">
        <v>0.06</v>
      </c>
      <c r="M46" s="24">
        <v>0.06</v>
      </c>
      <c r="N46" s="24">
        <v>0.06</v>
      </c>
    </row>
    <row r="47" spans="3:14" x14ac:dyDescent="0.35">
      <c r="D47" t="s">
        <v>81</v>
      </c>
      <c r="J47" s="24">
        <v>0.03</v>
      </c>
      <c r="K47" s="24">
        <v>0.03</v>
      </c>
      <c r="L47" s="24">
        <v>0.03</v>
      </c>
      <c r="M47" s="24">
        <v>0.03</v>
      </c>
      <c r="N47" s="24">
        <v>0.03</v>
      </c>
    </row>
    <row r="48" spans="3:14" x14ac:dyDescent="0.35">
      <c r="D48" t="s">
        <v>82</v>
      </c>
      <c r="J48" s="24">
        <v>0.04</v>
      </c>
      <c r="K48" s="24">
        <v>0.04</v>
      </c>
      <c r="L48" s="24">
        <v>0.04</v>
      </c>
      <c r="M48" s="24">
        <v>0.04</v>
      </c>
      <c r="N48" s="24">
        <v>0.04</v>
      </c>
    </row>
    <row r="49" spans="3:14" x14ac:dyDescent="0.35">
      <c r="D49" t="s">
        <v>83</v>
      </c>
      <c r="J49" s="24">
        <v>0.04</v>
      </c>
      <c r="K49" s="24">
        <v>0.04</v>
      </c>
      <c r="L49" s="24">
        <v>0.04</v>
      </c>
      <c r="M49" s="24">
        <v>0.04</v>
      </c>
      <c r="N49" s="24">
        <v>0.04</v>
      </c>
    </row>
    <row r="51" spans="3:14" x14ac:dyDescent="0.35">
      <c r="D51" s="1" t="s">
        <v>84</v>
      </c>
    </row>
    <row r="52" spans="3:14" x14ac:dyDescent="0.35">
      <c r="D52" t="s">
        <v>85</v>
      </c>
      <c r="G52" t="s">
        <v>88</v>
      </c>
      <c r="J52" s="16">
        <v>2</v>
      </c>
      <c r="K52" s="16">
        <v>2</v>
      </c>
      <c r="L52" s="16">
        <v>2</v>
      </c>
      <c r="M52" s="16">
        <v>2</v>
      </c>
      <c r="N52" s="16">
        <v>2</v>
      </c>
    </row>
    <row r="53" spans="3:14" x14ac:dyDescent="0.35">
      <c r="G53" t="s">
        <v>89</v>
      </c>
      <c r="J53" s="33">
        <v>130000</v>
      </c>
      <c r="K53" s="33">
        <v>130000</v>
      </c>
      <c r="L53" s="33">
        <v>130000</v>
      </c>
      <c r="M53" s="33">
        <v>130000</v>
      </c>
      <c r="N53" s="33">
        <v>130000</v>
      </c>
    </row>
    <row r="54" spans="3:14" x14ac:dyDescent="0.35">
      <c r="D54" t="s">
        <v>86</v>
      </c>
      <c r="G54" t="s">
        <v>88</v>
      </c>
      <c r="J54" s="16">
        <v>7</v>
      </c>
      <c r="K54" s="16">
        <v>7</v>
      </c>
      <c r="L54" s="16">
        <v>7</v>
      </c>
      <c r="M54" s="16">
        <v>7</v>
      </c>
      <c r="N54" s="16">
        <v>7</v>
      </c>
    </row>
    <row r="55" spans="3:14" x14ac:dyDescent="0.35">
      <c r="G55" t="s">
        <v>89</v>
      </c>
      <c r="J55" s="33">
        <v>80000</v>
      </c>
      <c r="K55" s="33">
        <v>80000</v>
      </c>
      <c r="L55" s="33">
        <v>80000</v>
      </c>
      <c r="M55" s="33">
        <v>80000</v>
      </c>
      <c r="N55" s="33">
        <v>80000</v>
      </c>
    </row>
    <row r="56" spans="3:14" x14ac:dyDescent="0.35">
      <c r="J56" s="16"/>
      <c r="K56" s="16"/>
      <c r="L56" s="16"/>
      <c r="M56" s="16"/>
      <c r="N56" s="16"/>
    </row>
    <row r="57" spans="3:14" x14ac:dyDescent="0.35">
      <c r="D57" t="s">
        <v>87</v>
      </c>
      <c r="J57" s="24">
        <v>0.05</v>
      </c>
      <c r="K57" s="24">
        <v>0.05</v>
      </c>
      <c r="L57" s="24">
        <v>0.05</v>
      </c>
      <c r="M57" s="24">
        <v>0.05</v>
      </c>
      <c r="N57" s="24">
        <v>0.05</v>
      </c>
    </row>
    <row r="59" spans="3:14" x14ac:dyDescent="0.35">
      <c r="C59" s="25" t="s">
        <v>90</v>
      </c>
      <c r="D59" s="26"/>
      <c r="E59" s="26"/>
      <c r="F59" s="26"/>
      <c r="G59" s="26"/>
      <c r="H59" s="26"/>
      <c r="I59" s="26"/>
      <c r="J59" s="26"/>
      <c r="K59" s="26"/>
      <c r="L59" s="26"/>
      <c r="M59" s="26"/>
      <c r="N59" s="26"/>
    </row>
    <row r="60" spans="3:14" x14ac:dyDescent="0.35">
      <c r="D60" t="s">
        <v>91</v>
      </c>
      <c r="G60" t="s">
        <v>89</v>
      </c>
      <c r="H60" t="s">
        <v>106</v>
      </c>
      <c r="J60" s="33">
        <v>120000</v>
      </c>
      <c r="K60" s="33">
        <v>140000</v>
      </c>
      <c r="L60" s="33">
        <v>150000</v>
      </c>
      <c r="M60" s="33">
        <v>170000</v>
      </c>
      <c r="N60" s="33">
        <v>170000</v>
      </c>
    </row>
    <row r="61" spans="3:14" x14ac:dyDescent="0.35">
      <c r="D61" t="s">
        <v>92</v>
      </c>
      <c r="G61" t="s">
        <v>89</v>
      </c>
      <c r="H61" t="s">
        <v>107</v>
      </c>
      <c r="J61" s="33">
        <v>80000</v>
      </c>
      <c r="K61" s="33">
        <v>80000</v>
      </c>
      <c r="L61" s="33">
        <v>80000</v>
      </c>
      <c r="M61" s="33">
        <v>80000</v>
      </c>
      <c r="N61" s="33">
        <v>80000</v>
      </c>
    </row>
    <row r="62" spans="3:14" x14ac:dyDescent="0.35">
      <c r="D62" t="s">
        <v>93</v>
      </c>
      <c r="G62" t="s">
        <v>89</v>
      </c>
      <c r="H62" t="s">
        <v>108</v>
      </c>
      <c r="J62" s="24">
        <v>0.02</v>
      </c>
      <c r="K62" s="24">
        <v>0.02</v>
      </c>
      <c r="L62" s="24">
        <v>0.02</v>
      </c>
      <c r="M62" s="24">
        <v>0.02</v>
      </c>
      <c r="N62" s="24">
        <v>0.02</v>
      </c>
    </row>
    <row r="63" spans="3:14" x14ac:dyDescent="0.35">
      <c r="D63" t="s">
        <v>94</v>
      </c>
      <c r="G63" t="s">
        <v>89</v>
      </c>
      <c r="H63" t="s">
        <v>108</v>
      </c>
      <c r="J63" s="33">
        <v>2500000</v>
      </c>
      <c r="K63" s="33">
        <v>2500000</v>
      </c>
      <c r="L63" s="33">
        <v>2500000</v>
      </c>
      <c r="M63" s="33">
        <v>2500000</v>
      </c>
      <c r="N63" s="33">
        <v>2500000</v>
      </c>
    </row>
    <row r="64" spans="3:14" x14ac:dyDescent="0.35">
      <c r="D64" t="s">
        <v>95</v>
      </c>
      <c r="G64" t="s">
        <v>89</v>
      </c>
      <c r="H64" t="s">
        <v>108</v>
      </c>
      <c r="J64" s="33">
        <v>1000000</v>
      </c>
      <c r="K64" s="33">
        <v>1000000</v>
      </c>
      <c r="L64" s="33">
        <v>1000000</v>
      </c>
      <c r="M64" s="33">
        <v>1000000</v>
      </c>
      <c r="N64" s="33">
        <v>1000000</v>
      </c>
    </row>
    <row r="65" spans="3:14" x14ac:dyDescent="0.35">
      <c r="D65" t="s">
        <v>96</v>
      </c>
      <c r="G65" t="s">
        <v>89</v>
      </c>
      <c r="H65" t="s">
        <v>106</v>
      </c>
      <c r="J65" s="33">
        <v>200000</v>
      </c>
      <c r="K65" s="33">
        <v>200000</v>
      </c>
      <c r="L65" s="33">
        <v>200000</v>
      </c>
      <c r="M65" s="33">
        <v>300000</v>
      </c>
      <c r="N65" s="33">
        <v>300000</v>
      </c>
    </row>
    <row r="66" spans="3:14" x14ac:dyDescent="0.35">
      <c r="D66" t="s">
        <v>97</v>
      </c>
      <c r="G66" t="s">
        <v>89</v>
      </c>
      <c r="H66" t="s">
        <v>108</v>
      </c>
      <c r="J66" s="33">
        <v>1000000</v>
      </c>
      <c r="K66" s="33">
        <v>1000000</v>
      </c>
      <c r="L66" s="33">
        <v>1000000</v>
      </c>
      <c r="M66" s="33">
        <v>1000000</v>
      </c>
      <c r="N66" s="33">
        <v>1000000</v>
      </c>
    </row>
    <row r="67" spans="3:14" x14ac:dyDescent="0.35">
      <c r="D67" t="s">
        <v>98</v>
      </c>
      <c r="G67" t="s">
        <v>89</v>
      </c>
      <c r="H67" t="s">
        <v>108</v>
      </c>
      <c r="J67" s="33">
        <v>800000</v>
      </c>
      <c r="K67" s="33">
        <v>800000</v>
      </c>
      <c r="L67" s="33">
        <v>800000</v>
      </c>
      <c r="M67" s="33">
        <v>800000</v>
      </c>
      <c r="N67" s="33">
        <v>800000</v>
      </c>
    </row>
    <row r="68" spans="3:14" x14ac:dyDescent="0.35">
      <c r="D68" t="s">
        <v>99</v>
      </c>
      <c r="G68" t="s">
        <v>89</v>
      </c>
      <c r="H68" t="s">
        <v>108</v>
      </c>
      <c r="J68" s="33">
        <v>600000</v>
      </c>
      <c r="K68" s="33">
        <v>600000</v>
      </c>
      <c r="L68" s="33">
        <v>600000</v>
      </c>
      <c r="M68" s="33">
        <v>600000</v>
      </c>
      <c r="N68" s="33">
        <v>600000</v>
      </c>
    </row>
    <row r="70" spans="3:14" x14ac:dyDescent="0.35">
      <c r="C70" s="25" t="s">
        <v>100</v>
      </c>
      <c r="D70" s="26"/>
      <c r="E70" s="26"/>
      <c r="F70" s="26"/>
      <c r="G70" s="26"/>
      <c r="H70" s="26"/>
      <c r="I70" s="26"/>
      <c r="J70" s="26"/>
      <c r="K70" s="26"/>
      <c r="L70" s="26"/>
      <c r="M70" s="26"/>
      <c r="N70" s="26"/>
    </row>
    <row r="71" spans="3:14" x14ac:dyDescent="0.35">
      <c r="D71" t="s">
        <v>101</v>
      </c>
      <c r="G71" s="2" t="s">
        <v>88</v>
      </c>
      <c r="H71" s="2"/>
      <c r="J71" s="16">
        <v>1</v>
      </c>
      <c r="K71" s="16">
        <v>1</v>
      </c>
      <c r="L71" s="16">
        <v>1</v>
      </c>
      <c r="M71" s="16">
        <v>1</v>
      </c>
      <c r="N71" s="16">
        <v>1</v>
      </c>
    </row>
    <row r="72" spans="3:14" x14ac:dyDescent="0.35">
      <c r="D72" t="s">
        <v>102</v>
      </c>
      <c r="G72" s="2" t="s">
        <v>88</v>
      </c>
      <c r="H72" s="2"/>
      <c r="J72" s="16">
        <v>1</v>
      </c>
      <c r="K72" s="16">
        <v>1</v>
      </c>
      <c r="L72" s="16">
        <v>1</v>
      </c>
      <c r="M72" s="16">
        <v>1</v>
      </c>
      <c r="N72" s="16">
        <v>1</v>
      </c>
    </row>
    <row r="73" spans="3:14" x14ac:dyDescent="0.35">
      <c r="D73" t="s">
        <v>103</v>
      </c>
      <c r="G73" s="2" t="s">
        <v>88</v>
      </c>
      <c r="H73" s="2"/>
      <c r="J73" s="16">
        <v>1</v>
      </c>
      <c r="K73" s="16">
        <v>1</v>
      </c>
      <c r="L73" s="16">
        <v>1</v>
      </c>
      <c r="M73" s="16">
        <v>1</v>
      </c>
      <c r="N73" s="16">
        <v>1</v>
      </c>
    </row>
    <row r="74" spans="3:14" x14ac:dyDescent="0.35">
      <c r="D74" t="s">
        <v>104</v>
      </c>
      <c r="G74" s="2" t="s">
        <v>88</v>
      </c>
      <c r="H74" s="2"/>
      <c r="J74" s="16">
        <v>3</v>
      </c>
      <c r="K74" s="16">
        <v>3</v>
      </c>
      <c r="L74" s="16">
        <v>3</v>
      </c>
      <c r="M74" s="16">
        <v>3</v>
      </c>
      <c r="N74" s="16">
        <v>3</v>
      </c>
    </row>
    <row r="75" spans="3:14" x14ac:dyDescent="0.35">
      <c r="D75" t="s">
        <v>105</v>
      </c>
      <c r="G75" s="2" t="s">
        <v>88</v>
      </c>
      <c r="H75" s="2"/>
      <c r="J75" s="16">
        <v>10</v>
      </c>
      <c r="K75" s="16">
        <v>10</v>
      </c>
      <c r="L75" s="16">
        <v>10</v>
      </c>
      <c r="M75" s="16">
        <v>10</v>
      </c>
      <c r="N75" s="16">
        <v>10</v>
      </c>
    </row>
    <row r="77" spans="3:14" x14ac:dyDescent="0.35">
      <c r="D77" t="s">
        <v>101</v>
      </c>
      <c r="G77" s="2" t="s">
        <v>89</v>
      </c>
      <c r="H77" s="2" t="s">
        <v>106</v>
      </c>
      <c r="J77" s="33">
        <v>800000</v>
      </c>
      <c r="K77" s="33">
        <v>800000</v>
      </c>
      <c r="L77" s="33">
        <v>800000</v>
      </c>
      <c r="M77" s="33">
        <v>800000</v>
      </c>
      <c r="N77" s="33">
        <v>800000</v>
      </c>
    </row>
    <row r="78" spans="3:14" x14ac:dyDescent="0.35">
      <c r="D78" t="s">
        <v>102</v>
      </c>
      <c r="G78" s="2" t="s">
        <v>89</v>
      </c>
      <c r="H78" s="2" t="s">
        <v>106</v>
      </c>
      <c r="J78" s="33">
        <v>700000</v>
      </c>
      <c r="K78" s="33">
        <v>700000</v>
      </c>
      <c r="L78" s="33">
        <v>700000</v>
      </c>
      <c r="M78" s="33">
        <v>700000</v>
      </c>
      <c r="N78" s="33">
        <v>700000</v>
      </c>
    </row>
    <row r="79" spans="3:14" x14ac:dyDescent="0.35">
      <c r="D79" t="s">
        <v>103</v>
      </c>
      <c r="G79" s="2" t="s">
        <v>89</v>
      </c>
      <c r="H79" s="2" t="s">
        <v>106</v>
      </c>
      <c r="J79" s="33">
        <v>500000</v>
      </c>
      <c r="K79" s="33">
        <v>500000</v>
      </c>
      <c r="L79" s="33">
        <v>500000</v>
      </c>
      <c r="M79" s="33">
        <v>500000</v>
      </c>
      <c r="N79" s="33">
        <v>500000</v>
      </c>
    </row>
    <row r="80" spans="3:14" x14ac:dyDescent="0.35">
      <c r="D80" t="s">
        <v>104</v>
      </c>
      <c r="G80" s="2" t="s">
        <v>89</v>
      </c>
      <c r="H80" s="2" t="s">
        <v>106</v>
      </c>
      <c r="J80" s="33">
        <v>300000</v>
      </c>
      <c r="K80" s="33">
        <v>300000</v>
      </c>
      <c r="L80" s="33">
        <v>300000</v>
      </c>
      <c r="M80" s="33">
        <v>300000</v>
      </c>
      <c r="N80" s="33">
        <v>300000</v>
      </c>
    </row>
    <row r="81" spans="3:14" x14ac:dyDescent="0.35">
      <c r="D81" t="s">
        <v>105</v>
      </c>
      <c r="G81" s="2" t="s">
        <v>89</v>
      </c>
      <c r="H81" s="2" t="s">
        <v>106</v>
      </c>
      <c r="J81" s="33">
        <v>100000</v>
      </c>
      <c r="K81" s="33">
        <v>100000</v>
      </c>
      <c r="L81" s="33">
        <v>100000</v>
      </c>
      <c r="M81" s="33">
        <v>100000</v>
      </c>
      <c r="N81" s="33">
        <v>100000</v>
      </c>
    </row>
    <row r="84" spans="3:14" x14ac:dyDescent="0.35">
      <c r="C84" s="25" t="s">
        <v>109</v>
      </c>
      <c r="D84" s="26"/>
      <c r="E84" s="26"/>
      <c r="F84" s="26"/>
      <c r="G84" s="26"/>
      <c r="H84" s="26"/>
      <c r="I84" s="26"/>
      <c r="J84" s="26"/>
      <c r="K84" s="26"/>
      <c r="L84" s="26"/>
      <c r="M84" s="26"/>
      <c r="N84" s="26"/>
    </row>
    <row r="85" spans="3:14" x14ac:dyDescent="0.35">
      <c r="D85" t="s">
        <v>111</v>
      </c>
    </row>
    <row r="86" spans="3:14" x14ac:dyDescent="0.35">
      <c r="D86" t="s">
        <v>110</v>
      </c>
      <c r="G86" s="16"/>
      <c r="H86" s="16"/>
      <c r="I86" s="16"/>
      <c r="J86" s="16"/>
      <c r="K86" s="16"/>
      <c r="L86" s="16"/>
      <c r="M86" s="16"/>
      <c r="N86" s="16"/>
    </row>
    <row r="87" spans="3:14" x14ac:dyDescent="0.35">
      <c r="E87" t="s">
        <v>88</v>
      </c>
      <c r="G87" s="16"/>
      <c r="H87" s="16"/>
      <c r="I87" s="16"/>
      <c r="J87" s="16">
        <v>5</v>
      </c>
      <c r="K87" s="16"/>
      <c r="L87" s="16"/>
      <c r="M87" s="16">
        <v>3</v>
      </c>
      <c r="N87" s="16"/>
    </row>
    <row r="88" spans="3:14" x14ac:dyDescent="0.35">
      <c r="E88" t="s">
        <v>112</v>
      </c>
      <c r="G88" s="16"/>
      <c r="H88" s="16"/>
      <c r="I88" s="16"/>
      <c r="J88" s="33">
        <v>3000000</v>
      </c>
      <c r="K88" s="33"/>
      <c r="L88" s="33"/>
      <c r="M88" s="33">
        <v>3000000</v>
      </c>
      <c r="N88" s="16"/>
    </row>
    <row r="89" spans="3:14" x14ac:dyDescent="0.35">
      <c r="E89" t="s">
        <v>113</v>
      </c>
      <c r="G89" s="44">
        <v>5</v>
      </c>
      <c r="H89" s="77">
        <f>1/G89</f>
        <v>0.2</v>
      </c>
      <c r="I89" s="16"/>
      <c r="J89" s="16"/>
      <c r="K89" s="16"/>
      <c r="L89" s="16"/>
      <c r="M89" s="16"/>
      <c r="N89" s="16"/>
    </row>
    <row r="90" spans="3:14" x14ac:dyDescent="0.35">
      <c r="E90" t="s">
        <v>114</v>
      </c>
      <c r="G90" s="33">
        <v>600000</v>
      </c>
      <c r="H90" s="16"/>
      <c r="I90" s="16"/>
      <c r="J90" s="16"/>
      <c r="K90" s="16"/>
      <c r="L90" s="16"/>
      <c r="M90" s="16"/>
      <c r="N90" s="16"/>
    </row>
    <row r="91" spans="3:14" x14ac:dyDescent="0.35">
      <c r="G91" s="16"/>
      <c r="H91" s="16"/>
      <c r="I91" s="16"/>
      <c r="J91" s="16"/>
      <c r="K91" s="16"/>
      <c r="L91" s="16"/>
      <c r="M91" s="16"/>
      <c r="N91" s="16"/>
    </row>
    <row r="92" spans="3:14" x14ac:dyDescent="0.35">
      <c r="D92" t="s">
        <v>115</v>
      </c>
      <c r="G92" s="16"/>
      <c r="H92" s="16"/>
      <c r="I92" s="16"/>
      <c r="J92" s="16"/>
      <c r="K92" s="16"/>
      <c r="L92" s="16"/>
      <c r="M92" s="16"/>
      <c r="N92" s="16"/>
    </row>
    <row r="93" spans="3:14" x14ac:dyDescent="0.35">
      <c r="E93" t="s">
        <v>88</v>
      </c>
      <c r="G93" s="16"/>
      <c r="H93" s="16"/>
      <c r="I93" s="16"/>
      <c r="J93" s="16">
        <v>4</v>
      </c>
      <c r="K93" s="16"/>
      <c r="L93" s="16"/>
      <c r="M93" s="16"/>
      <c r="N93" s="16">
        <v>1</v>
      </c>
    </row>
    <row r="94" spans="3:14" x14ac:dyDescent="0.35">
      <c r="E94" t="s">
        <v>112</v>
      </c>
      <c r="G94" s="16"/>
      <c r="H94" s="16"/>
      <c r="I94" s="16"/>
      <c r="J94" s="33">
        <v>1000000</v>
      </c>
      <c r="K94" s="33"/>
      <c r="L94" s="33"/>
      <c r="M94" s="33"/>
      <c r="N94" s="33">
        <v>1000000</v>
      </c>
    </row>
    <row r="95" spans="3:14" x14ac:dyDescent="0.35">
      <c r="E95" t="s">
        <v>113</v>
      </c>
      <c r="G95" s="44">
        <v>4</v>
      </c>
      <c r="H95" s="77">
        <f>1/G95</f>
        <v>0.25</v>
      </c>
      <c r="I95" s="16"/>
      <c r="J95" s="16"/>
      <c r="K95" s="16"/>
      <c r="L95" s="16"/>
      <c r="M95" s="16"/>
      <c r="N95" s="16"/>
    </row>
    <row r="96" spans="3:14" x14ac:dyDescent="0.35">
      <c r="E96" t="s">
        <v>114</v>
      </c>
      <c r="G96" s="33"/>
      <c r="H96" s="16"/>
      <c r="I96" s="16"/>
      <c r="J96" s="16"/>
      <c r="K96" s="16"/>
      <c r="L96" s="16"/>
      <c r="M96" s="16"/>
      <c r="N96" s="16"/>
    </row>
    <row r="97" spans="4:14" x14ac:dyDescent="0.35">
      <c r="G97" s="16"/>
      <c r="H97" s="16"/>
      <c r="I97" s="16"/>
      <c r="J97" s="16"/>
      <c r="K97" s="16"/>
      <c r="L97" s="16"/>
      <c r="M97" s="16"/>
      <c r="N97" s="16"/>
    </row>
    <row r="98" spans="4:14" x14ac:dyDescent="0.35">
      <c r="D98" t="s">
        <v>116</v>
      </c>
      <c r="G98" s="16"/>
      <c r="H98" s="16"/>
      <c r="I98" s="16"/>
      <c r="J98" s="16"/>
      <c r="K98" s="16"/>
      <c r="L98" s="16"/>
      <c r="M98" s="16"/>
      <c r="N98" s="16"/>
    </row>
    <row r="99" spans="4:14" x14ac:dyDescent="0.35">
      <c r="E99" t="s">
        <v>88</v>
      </c>
      <c r="G99" s="16"/>
      <c r="H99" s="16"/>
      <c r="I99" s="16"/>
      <c r="J99" s="16">
        <v>3</v>
      </c>
      <c r="K99" s="16"/>
      <c r="L99" s="16"/>
      <c r="M99" s="16"/>
      <c r="N99" s="16">
        <v>3</v>
      </c>
    </row>
    <row r="100" spans="4:14" x14ac:dyDescent="0.35">
      <c r="E100" t="s">
        <v>112</v>
      </c>
      <c r="G100" s="16"/>
      <c r="H100" s="16"/>
      <c r="I100" s="16"/>
      <c r="J100" s="33">
        <v>5000000</v>
      </c>
      <c r="K100" s="33"/>
      <c r="L100" s="33"/>
      <c r="M100" s="33"/>
      <c r="N100" s="33">
        <v>5000000</v>
      </c>
    </row>
    <row r="101" spans="4:14" x14ac:dyDescent="0.35">
      <c r="E101" t="s">
        <v>113</v>
      </c>
      <c r="G101" s="44">
        <v>5</v>
      </c>
      <c r="H101" s="77">
        <f>1/G101</f>
        <v>0.2</v>
      </c>
      <c r="I101" s="16"/>
      <c r="J101" s="16"/>
      <c r="K101" s="16"/>
      <c r="L101" s="16"/>
      <c r="M101" s="16"/>
      <c r="N101" s="16"/>
    </row>
    <row r="102" spans="4:14" x14ac:dyDescent="0.35">
      <c r="E102" t="s">
        <v>114</v>
      </c>
      <c r="G102" s="16"/>
      <c r="H102" s="16"/>
      <c r="I102" s="16"/>
      <c r="J102" s="16"/>
      <c r="K102" s="16"/>
      <c r="L102" s="16"/>
      <c r="M102" s="16"/>
      <c r="N102" s="16"/>
    </row>
    <row r="103" spans="4:14" x14ac:dyDescent="0.35">
      <c r="G103" s="16"/>
      <c r="H103" s="16"/>
      <c r="I103" s="16"/>
      <c r="J103" s="16"/>
      <c r="K103" s="16"/>
      <c r="L103" s="16"/>
      <c r="M103" s="16"/>
      <c r="N103" s="16"/>
    </row>
    <row r="104" spans="4:14" x14ac:dyDescent="0.35">
      <c r="D104" t="s">
        <v>117</v>
      </c>
      <c r="G104" s="16"/>
      <c r="H104" s="16"/>
      <c r="I104" s="16"/>
      <c r="J104" s="16"/>
      <c r="K104" s="16"/>
      <c r="L104" s="16"/>
      <c r="M104" s="16"/>
      <c r="N104" s="16"/>
    </row>
    <row r="105" spans="4:14" x14ac:dyDescent="0.35">
      <c r="E105" t="s">
        <v>88</v>
      </c>
      <c r="G105" s="16"/>
      <c r="H105" s="16"/>
      <c r="I105" s="16"/>
      <c r="J105" s="16">
        <v>1</v>
      </c>
      <c r="K105" s="16"/>
      <c r="L105" s="16"/>
      <c r="M105" s="16"/>
      <c r="N105" s="16">
        <v>2</v>
      </c>
    </row>
    <row r="106" spans="4:14" x14ac:dyDescent="0.35">
      <c r="E106" t="s">
        <v>112</v>
      </c>
      <c r="G106" s="16"/>
      <c r="H106" s="16"/>
      <c r="I106" s="16"/>
      <c r="J106" s="33">
        <v>3500000</v>
      </c>
      <c r="K106" s="33"/>
      <c r="L106" s="33"/>
      <c r="M106" s="33"/>
      <c r="N106" s="33">
        <v>3500000</v>
      </c>
    </row>
    <row r="107" spans="4:14" x14ac:dyDescent="0.35">
      <c r="E107" t="s">
        <v>113</v>
      </c>
      <c r="G107" s="44">
        <v>4</v>
      </c>
      <c r="H107" s="77">
        <f>1/G107</f>
        <v>0.25</v>
      </c>
      <c r="I107" s="16"/>
      <c r="J107" s="16"/>
      <c r="K107" s="16"/>
      <c r="L107" s="16"/>
      <c r="M107" s="16"/>
      <c r="N107" s="16"/>
    </row>
    <row r="108" spans="4:14" x14ac:dyDescent="0.35">
      <c r="E108" t="s">
        <v>114</v>
      </c>
      <c r="G108" s="16"/>
      <c r="H108" s="16"/>
      <c r="I108" s="16"/>
      <c r="J108" s="16"/>
      <c r="K108" s="16"/>
      <c r="L108" s="16"/>
      <c r="M108" s="16"/>
      <c r="N108" s="16"/>
    </row>
    <row r="109" spans="4:14" x14ac:dyDescent="0.35">
      <c r="G109" s="16"/>
      <c r="H109" s="16"/>
      <c r="I109" s="16"/>
      <c r="J109" s="16"/>
      <c r="K109" s="16"/>
      <c r="L109" s="16"/>
      <c r="M109" s="16"/>
      <c r="N109" s="16"/>
    </row>
    <row r="110" spans="4:14" x14ac:dyDescent="0.35">
      <c r="D110" t="s">
        <v>118</v>
      </c>
      <c r="G110" s="16"/>
      <c r="H110" s="16"/>
      <c r="I110" s="16"/>
      <c r="J110" s="16"/>
      <c r="K110" s="16"/>
      <c r="L110" s="16"/>
      <c r="M110" s="16"/>
      <c r="N110" s="16"/>
    </row>
    <row r="111" spans="4:14" x14ac:dyDescent="0.35">
      <c r="E111" t="s">
        <v>88</v>
      </c>
      <c r="G111" s="16"/>
      <c r="H111" s="16"/>
      <c r="I111" s="16"/>
      <c r="J111" s="16">
        <v>1</v>
      </c>
      <c r="K111" s="16"/>
      <c r="L111" s="16"/>
      <c r="M111" s="16"/>
      <c r="N111" s="16"/>
    </row>
    <row r="112" spans="4:14" x14ac:dyDescent="0.35">
      <c r="E112" t="s">
        <v>112</v>
      </c>
      <c r="G112" s="16"/>
      <c r="H112" s="16"/>
      <c r="I112" s="16"/>
      <c r="J112" s="33">
        <v>30000000</v>
      </c>
      <c r="K112" s="16"/>
      <c r="L112" s="16"/>
      <c r="M112" s="16"/>
      <c r="N112" s="16"/>
    </row>
    <row r="113" spans="3:14" x14ac:dyDescent="0.35">
      <c r="E113" t="s">
        <v>113</v>
      </c>
      <c r="G113" s="44">
        <v>25</v>
      </c>
      <c r="H113" s="77">
        <f>1/G113</f>
        <v>0.04</v>
      </c>
      <c r="I113" s="16"/>
      <c r="J113" s="16"/>
      <c r="K113" s="16"/>
      <c r="L113" s="16"/>
      <c r="M113" s="16"/>
      <c r="N113" s="16"/>
    </row>
    <row r="114" spans="3:14" x14ac:dyDescent="0.35">
      <c r="E114" t="s">
        <v>119</v>
      </c>
      <c r="G114" s="24">
        <v>0.7</v>
      </c>
      <c r="H114" s="16"/>
      <c r="I114" s="16"/>
      <c r="J114" s="16"/>
      <c r="K114" s="16"/>
      <c r="L114" s="16"/>
      <c r="M114" s="16"/>
      <c r="N114" s="16"/>
    </row>
    <row r="115" spans="3:14" x14ac:dyDescent="0.35">
      <c r="E115" t="s">
        <v>120</v>
      </c>
      <c r="G115" s="24">
        <v>0.3</v>
      </c>
      <c r="H115" s="16"/>
      <c r="I115" s="16"/>
      <c r="J115" s="16"/>
      <c r="K115" s="16"/>
      <c r="L115" s="16"/>
      <c r="M115" s="16"/>
      <c r="N115" s="16"/>
    </row>
    <row r="118" spans="3:14" x14ac:dyDescent="0.35">
      <c r="C118" s="25" t="s">
        <v>147</v>
      </c>
      <c r="D118" s="26"/>
      <c r="E118" s="26"/>
      <c r="F118" s="26"/>
      <c r="G118" s="26"/>
      <c r="H118" s="26"/>
      <c r="I118" s="26"/>
      <c r="J118" s="26"/>
      <c r="K118" s="26"/>
      <c r="L118" s="26"/>
      <c r="M118" s="26"/>
      <c r="N118" s="26"/>
    </row>
    <row r="119" spans="3:14" x14ac:dyDescent="0.35">
      <c r="D119" t="s">
        <v>144</v>
      </c>
      <c r="E119" s="33">
        <v>1000000</v>
      </c>
    </row>
    <row r="120" spans="3:14" x14ac:dyDescent="0.35">
      <c r="D120" t="s">
        <v>94</v>
      </c>
      <c r="E120" s="45">
        <f>J63</f>
        <v>2500000</v>
      </c>
    </row>
    <row r="121" spans="3:14" x14ac:dyDescent="0.35">
      <c r="D121" t="s">
        <v>145</v>
      </c>
      <c r="E121" s="33">
        <v>200000</v>
      </c>
    </row>
    <row r="122" spans="3:14" ht="15" thickBot="1" x14ac:dyDescent="0.4">
      <c r="D122" t="s">
        <v>146</v>
      </c>
      <c r="E122" s="52">
        <v>500000</v>
      </c>
    </row>
    <row r="123" spans="3:14" ht="15.5" thickTop="1" thickBot="1" x14ac:dyDescent="0.4">
      <c r="E123" s="29">
        <f>SUM(E119:E122)</f>
        <v>4200000</v>
      </c>
    </row>
    <row r="124" spans="3:14" ht="15" thickTop="1" x14ac:dyDescent="0.35"/>
    <row r="125" spans="3:14" x14ac:dyDescent="0.35">
      <c r="C125" s="25" t="s">
        <v>156</v>
      </c>
      <c r="D125" s="26"/>
      <c r="E125" s="26"/>
      <c r="F125" s="26"/>
      <c r="G125" s="26"/>
      <c r="H125" s="26"/>
      <c r="I125" s="26"/>
      <c r="J125" s="26"/>
      <c r="K125" s="26"/>
      <c r="L125" s="26"/>
      <c r="M125" s="26"/>
      <c r="N125" s="26"/>
    </row>
    <row r="127" spans="3:14" x14ac:dyDescent="0.35">
      <c r="D127" t="s">
        <v>140</v>
      </c>
      <c r="E127" s="24">
        <v>0.7</v>
      </c>
    </row>
    <row r="128" spans="3:14" ht="15" thickBot="1" x14ac:dyDescent="0.4">
      <c r="D128" t="s">
        <v>141</v>
      </c>
      <c r="E128" s="42">
        <v>0.3</v>
      </c>
    </row>
    <row r="129" spans="4:5" ht="15.5" thickTop="1" thickBot="1" x14ac:dyDescent="0.4">
      <c r="D129" s="1" t="s">
        <v>148</v>
      </c>
      <c r="E129" s="43">
        <f>SUM(E127:E128)</f>
        <v>1</v>
      </c>
    </row>
    <row r="130" spans="4:5" ht="15" thickTop="1" x14ac:dyDescent="0.35"/>
    <row r="131" spans="4:5" x14ac:dyDescent="0.35">
      <c r="D131" t="s">
        <v>149</v>
      </c>
    </row>
    <row r="132" spans="4:5" x14ac:dyDescent="0.35">
      <c r="D132" t="s">
        <v>150</v>
      </c>
      <c r="E132" s="22">
        <v>0.2</v>
      </c>
    </row>
    <row r="134" spans="4:5" x14ac:dyDescent="0.35">
      <c r="D134" t="s">
        <v>151</v>
      </c>
    </row>
    <row r="135" spans="4:5" x14ac:dyDescent="0.35">
      <c r="D135" t="s">
        <v>152</v>
      </c>
      <c r="E135" s="24">
        <v>0.13980000000000001</v>
      </c>
    </row>
    <row r="136" spans="4:5" x14ac:dyDescent="0.35">
      <c r="D136" t="s">
        <v>153</v>
      </c>
      <c r="E136" s="24">
        <v>0.16750000000000001</v>
      </c>
    </row>
    <row r="137" spans="4:5" x14ac:dyDescent="0.35">
      <c r="D137" t="s">
        <v>154</v>
      </c>
      <c r="E137" s="44">
        <v>5</v>
      </c>
    </row>
    <row r="138" spans="4:5" x14ac:dyDescent="0.35">
      <c r="D138" t="s">
        <v>155</v>
      </c>
      <c r="E138" s="16">
        <v>2029</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2</xdr:col>
                    <xdr:colOff>44450</xdr:colOff>
                    <xdr:row>0</xdr:row>
                    <xdr:rowOff>127000</xdr:rowOff>
                  </from>
                  <to>
                    <xdr:col>2</xdr:col>
                    <xdr:colOff>1244600</xdr:colOff>
                    <xdr:row>1</xdr:row>
                    <xdr:rowOff>152400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114D5-32E7-4E91-8A2C-0E419D321CE7}">
  <dimension ref="B1:N159"/>
  <sheetViews>
    <sheetView showGridLines="0" topLeftCell="D1" workbookViewId="0">
      <pane ySplit="6" topLeftCell="A114" activePane="bottomLeft" state="frozen"/>
      <selection activeCell="N2" sqref="N2"/>
      <selection pane="bottomLeft" activeCell="N2" sqref="N2"/>
    </sheetView>
  </sheetViews>
  <sheetFormatPr defaultRowHeight="14.5" x14ac:dyDescent="0.35"/>
  <cols>
    <col min="3" max="3" width="23" customWidth="1"/>
    <col min="4" max="4" width="21.08984375" customWidth="1"/>
    <col min="5" max="5" width="15.81640625" customWidth="1"/>
    <col min="6" max="6" width="12.7265625" customWidth="1"/>
    <col min="8" max="8" width="12" customWidth="1"/>
    <col min="10" max="10" width="13.90625" bestFit="1" customWidth="1"/>
    <col min="11" max="11" width="14.26953125" customWidth="1"/>
    <col min="12" max="12" width="15" customWidth="1"/>
    <col min="13" max="13" width="16.453125" customWidth="1"/>
    <col min="14" max="14" width="13.81640625" bestFit="1" customWidth="1"/>
  </cols>
  <sheetData>
    <row r="1" spans="2:14" x14ac:dyDescent="0.35">
      <c r="B1" t="s">
        <v>43</v>
      </c>
      <c r="D1" t="s">
        <v>6</v>
      </c>
      <c r="M1" t="s">
        <v>44</v>
      </c>
      <c r="N1" s="99">
        <f ca="1">TODAY()</f>
        <v>45735</v>
      </c>
    </row>
    <row r="3" spans="2:14" ht="28.5" x14ac:dyDescent="0.65">
      <c r="C3" s="15" t="s">
        <v>50</v>
      </c>
      <c r="D3" s="15"/>
      <c r="E3" s="15"/>
      <c r="F3" s="15"/>
      <c r="G3" s="15"/>
      <c r="H3" s="15"/>
      <c r="I3" s="15"/>
      <c r="J3" s="15"/>
      <c r="K3" s="15"/>
      <c r="L3" s="15"/>
      <c r="M3" s="15"/>
      <c r="N3" s="15"/>
    </row>
    <row r="5" spans="2:14" x14ac:dyDescent="0.35">
      <c r="I5" s="1">
        <v>2024</v>
      </c>
      <c r="J5" s="1">
        <v>2025</v>
      </c>
      <c r="K5" s="1">
        <v>2026</v>
      </c>
      <c r="L5" s="1">
        <v>2027</v>
      </c>
      <c r="M5" s="1">
        <v>2028</v>
      </c>
      <c r="N5" s="1">
        <v>2029</v>
      </c>
    </row>
    <row r="6" spans="2:14" x14ac:dyDescent="0.35">
      <c r="C6" s="25" t="s">
        <v>8</v>
      </c>
      <c r="D6" s="26"/>
      <c r="E6" s="26"/>
      <c r="F6" s="26"/>
      <c r="G6" s="26"/>
      <c r="H6" s="26"/>
      <c r="I6" s="26"/>
      <c r="J6" s="26"/>
      <c r="K6" s="26"/>
      <c r="L6" s="26"/>
      <c r="M6" s="26"/>
      <c r="N6" s="26"/>
    </row>
    <row r="7" spans="2:14" x14ac:dyDescent="0.35">
      <c r="J7" s="16"/>
      <c r="K7" s="16"/>
      <c r="L7" s="16"/>
      <c r="M7" s="16"/>
      <c r="N7" s="16"/>
    </row>
    <row r="8" spans="2:14" x14ac:dyDescent="0.35">
      <c r="D8" t="s">
        <v>72</v>
      </c>
      <c r="J8" s="33" cm="1">
        <f t="array" ref="J8">INDEX(Assumption!$E$21:$E$23,Assumption!$E$2)*(Assumption!J29*Assumption!J28*Assumption!J6*Assumption!J7*Assumption!J8)</f>
        <v>39813120</v>
      </c>
      <c r="K8" s="33" cm="1">
        <f t="array" ref="K8">INDEX(Assumption!$E$21:$E$23,Assumption!$E$2)*(Assumption!K29*Assumption!K28*Assumption!K6*Assumption!K7*Assumption!K8)</f>
        <v>43580160</v>
      </c>
      <c r="L8" s="33" cm="1">
        <f t="array" ref="L8">INDEX(Assumption!$E$21:$E$23,Assumption!$E$2)*(Assumption!L29*Assumption!L28*Assumption!L6*Assumption!L7*Assumption!L8)</f>
        <v>55296000</v>
      </c>
      <c r="M8" s="33" cm="1">
        <f t="array" ref="M8">INDEX(Assumption!$E$21:$E$23,Assumption!$E$2)*(Assumption!M29*Assumption!M28*Assumption!M6*Assumption!M7*Assumption!M8)</f>
        <v>65664000</v>
      </c>
      <c r="N8" s="33" cm="1">
        <f t="array" ref="N8">INDEX(Assumption!$E$21:$E$23,Assumption!$E$2)*(Assumption!N29*Assumption!N28*Assumption!N6*Assumption!N7*Assumption!N8)</f>
        <v>72576000</v>
      </c>
    </row>
    <row r="9" spans="2:14" x14ac:dyDescent="0.35">
      <c r="D9" t="s">
        <v>75</v>
      </c>
      <c r="J9" s="33" cm="1">
        <f t="array" ref="J9">INDEX(Assumption!$E$21:$E$23,Assumption!$E$2)*(Assumption!J33*Assumption!J32*Assumption!J6*Assumption!J7*Assumption!J8)</f>
        <v>36875520</v>
      </c>
      <c r="K9" s="33" cm="1">
        <f t="array" ref="K9">INDEX(Assumption!$E$21:$E$23,Assumption!$E$2)*(Assumption!K33*Assumption!K32*Assumption!K6*Assumption!K7*Assumption!K8)</f>
        <v>40227840</v>
      </c>
      <c r="L9" s="33" cm="1">
        <f t="array" ref="L9">INDEX(Assumption!$E$21:$E$23,Assumption!$E$2)*(Assumption!L33*Assumption!L32*Assumption!L6*Assumption!L7*Assumption!L8)</f>
        <v>47416320</v>
      </c>
      <c r="M9" s="33" cm="1">
        <f t="array" ref="M9">INDEX(Assumption!$E$21:$E$23,Assumption!$E$2)*(Assumption!M33*Assumption!M32*Assumption!M6*Assumption!M7*Assumption!M8)</f>
        <v>58752000</v>
      </c>
      <c r="N9" s="33" cm="1">
        <f t="array" ref="N9">INDEX(Assumption!$E$21:$E$23,Assumption!$E$2)*(Assumption!N33*Assumption!N32*Assumption!N6*Assumption!N7*Assumption!N8)</f>
        <v>76204800</v>
      </c>
    </row>
    <row r="10" spans="2:14" x14ac:dyDescent="0.35">
      <c r="D10" t="s">
        <v>76</v>
      </c>
      <c r="J10" s="33" cm="1">
        <f t="array" ref="J10">INDEX(Assumption!$E$21:$E$23,Assumption!$E$2)*(Assumption!J37*Assumption!J36*Assumption!J6*Assumption!J7*Assumption!J8)</f>
        <v>34560000</v>
      </c>
      <c r="K10" s="33" cm="1">
        <f t="array" ref="K10">INDEX(Assumption!$E$21:$E$23,Assumption!$E$2)*(Assumption!K37*Assumption!K36*Assumption!K6*Assumption!K7*Assumption!K8)</f>
        <v>34560000</v>
      </c>
      <c r="L10" s="33" cm="1">
        <f t="array" ref="L10">INDEX(Assumption!$E$21:$E$23,Assumption!$E$2)*(Assumption!L37*Assumption!L36*Assumption!L6*Assumption!L7*Assumption!L8)</f>
        <v>45619200</v>
      </c>
      <c r="M10" s="33" cm="1">
        <f t="array" ref="M10">INDEX(Assumption!$E$21:$E$23,Assumption!$E$2)*(Assumption!M37*Assumption!M36*Assumption!M6*Assumption!M7*Assumption!M8)</f>
        <v>57024000</v>
      </c>
      <c r="N10" s="33" cm="1">
        <f t="array" ref="N10">INDEX(Assumption!$E$21:$E$23,Assumption!$E$2)*(Assumption!N37*Assumption!N36*Assumption!N6*Assumption!N7*Assumption!N8)</f>
        <v>72230400</v>
      </c>
    </row>
    <row r="11" spans="2:14" x14ac:dyDescent="0.35">
      <c r="D11" t="s">
        <v>77</v>
      </c>
      <c r="J11" s="33" cm="1">
        <f t="array" ref="J11" xml:space="preserve"> INDEX(Assumption!$E$21:$E$23,Assumption!$E$2)*(Assumption!J41*Assumption!J40*Assumption!J6*Assumption!J7*Assumption!J8)</f>
        <v>36875520</v>
      </c>
      <c r="K11" s="33" cm="1">
        <f t="array" ref="K11" xml:space="preserve"> INDEX(Assumption!$E$21:$E$23,Assumption!$E$2)*(Assumption!K41*Assumption!K40*Assumption!K6*Assumption!K7*Assumption!K8)</f>
        <v>40642560</v>
      </c>
      <c r="L11" s="33" cm="1">
        <f t="array" ref="L11" xml:space="preserve"> INDEX(Assumption!$E$21:$E$23,Assumption!$E$2)*(Assumption!L41*Assumption!L40*Assumption!L6*Assumption!L7*Assumption!L8)</f>
        <v>58752000</v>
      </c>
      <c r="M11" s="33" cm="1">
        <f t="array" ref="M11" xml:space="preserve"> INDEX(Assumption!$E$21:$E$23,Assumption!$E$2)*(Assumption!M41*Assumption!M40*Assumption!M6*Assumption!M7*Assumption!M8)</f>
        <v>69120000</v>
      </c>
      <c r="N11" s="33" cm="1">
        <f t="array" ref="N11" xml:space="preserve"> INDEX(Assumption!$E$21:$E$23,Assumption!$E$2)*(Assumption!N41*Assumption!N40*Assumption!N6*Assumption!N7*Assumption!N8)</f>
        <v>76032000</v>
      </c>
    </row>
    <row r="12" spans="2:14" ht="15" thickBot="1" x14ac:dyDescent="0.4">
      <c r="J12" s="91">
        <f>SUM(J8:J11)</f>
        <v>148124160</v>
      </c>
      <c r="K12" s="91">
        <f t="shared" ref="K12:N12" si="0">SUM(K8:K11)</f>
        <v>159010560</v>
      </c>
      <c r="L12" s="91">
        <f t="shared" si="0"/>
        <v>207083520</v>
      </c>
      <c r="M12" s="91">
        <f t="shared" si="0"/>
        <v>250560000</v>
      </c>
      <c r="N12" s="91">
        <f t="shared" si="0"/>
        <v>297043200</v>
      </c>
    </row>
    <row r="13" spans="2:14" ht="15" thickTop="1" x14ac:dyDescent="0.35"/>
    <row r="14" spans="2:14" x14ac:dyDescent="0.35">
      <c r="D14" t="s">
        <v>62</v>
      </c>
      <c r="J14" s="33">
        <f>Assumption!$E$12*Workings!J12</f>
        <v>29624832</v>
      </c>
      <c r="K14" s="33">
        <f>Assumption!$E$12*Workings!K12</f>
        <v>31802112</v>
      </c>
      <c r="L14" s="33">
        <f>Assumption!$E$12*Workings!L12</f>
        <v>41416704</v>
      </c>
      <c r="M14" s="33">
        <f>Assumption!$E$12*Workings!M12</f>
        <v>50112000</v>
      </c>
      <c r="N14" s="33">
        <f>Assumption!$E$12*Workings!N12</f>
        <v>59408640</v>
      </c>
    </row>
    <row r="15" spans="2:14" x14ac:dyDescent="0.35">
      <c r="D15" t="s">
        <v>121</v>
      </c>
      <c r="J15" s="45">
        <f>J12-J14</f>
        <v>118499328</v>
      </c>
      <c r="K15" s="45">
        <f t="shared" ref="K15:N15" si="1">K12-K14</f>
        <v>127208448</v>
      </c>
      <c r="L15" s="45">
        <f t="shared" si="1"/>
        <v>165666816</v>
      </c>
      <c r="M15" s="45">
        <f t="shared" si="1"/>
        <v>200448000</v>
      </c>
      <c r="N15" s="45">
        <f t="shared" si="1"/>
        <v>237634560</v>
      </c>
    </row>
    <row r="17" spans="3:14" x14ac:dyDescent="0.35">
      <c r="C17" s="25" t="s">
        <v>9</v>
      </c>
      <c r="D17" s="26"/>
      <c r="E17" s="26"/>
      <c r="F17" s="26"/>
      <c r="G17" s="26"/>
      <c r="H17" s="26"/>
      <c r="I17" s="26"/>
      <c r="J17" s="26"/>
      <c r="K17" s="26"/>
      <c r="L17" s="26"/>
      <c r="M17" s="26"/>
      <c r="N17" s="26"/>
    </row>
    <row r="19" spans="3:14" x14ac:dyDescent="0.35">
      <c r="D19" t="s">
        <v>78</v>
      </c>
      <c r="J19" s="33">
        <f>SUM(Assumption!J45:J49)*Workings!J12</f>
        <v>34068556.800000004</v>
      </c>
      <c r="K19" s="33">
        <f>SUM(Assumption!K45:K49)*Workings!K12</f>
        <v>36572428.800000004</v>
      </c>
      <c r="L19" s="33">
        <f>SUM(Assumption!L45:L49)*Workings!L12</f>
        <v>47629209.600000001</v>
      </c>
      <c r="M19" s="33">
        <f>SUM(Assumption!M45:M49)*Workings!M12</f>
        <v>57628800</v>
      </c>
      <c r="N19" s="33">
        <f>SUM(Assumption!N45:N49)*Workings!N12</f>
        <v>68319936</v>
      </c>
    </row>
    <row r="20" spans="3:14" x14ac:dyDescent="0.35">
      <c r="D20" t="s">
        <v>122</v>
      </c>
      <c r="J20" s="16"/>
      <c r="K20" s="16"/>
      <c r="L20" s="16"/>
      <c r="M20" s="16"/>
      <c r="N20" s="16"/>
    </row>
    <row r="21" spans="3:14" x14ac:dyDescent="0.35">
      <c r="E21" t="s">
        <v>104</v>
      </c>
      <c r="J21" s="33" cm="1">
        <f t="array" ref="J21" xml:space="preserve"> INDEX(Assumption!$E$21:$E$23,Assumption!$E$2)*(Assumption!J52*Assumption!J53*Assumption!J8)</f>
        <v>3744000</v>
      </c>
      <c r="K21" s="33" cm="1">
        <f t="array" ref="K21" xml:space="preserve"> INDEX(Assumption!$E$21:$E$23,Assumption!$E$2)*(Assumption!K52*Assumption!K53*Assumption!K8)</f>
        <v>3744000</v>
      </c>
      <c r="L21" s="33" cm="1">
        <f t="array" ref="L21" xml:space="preserve"> INDEX(Assumption!$E$21:$E$23,Assumption!$E$2)*(Assumption!L52*Assumption!L53*Assumption!L8)</f>
        <v>3744000</v>
      </c>
      <c r="M21" s="33" cm="1">
        <f t="array" ref="M21" xml:space="preserve"> INDEX(Assumption!$E$21:$E$23,Assumption!$E$2)*(Assumption!M52*Assumption!M53*Assumption!M8)</f>
        <v>3744000</v>
      </c>
      <c r="N21" s="33" cm="1">
        <f t="array" ref="N21" xml:space="preserve"> INDEX(Assumption!$E$21:$E$23,Assumption!$E$2)*(Assumption!N52*Assumption!N53*Assumption!N8)</f>
        <v>3744000</v>
      </c>
    </row>
    <row r="22" spans="3:14" x14ac:dyDescent="0.35">
      <c r="E22" t="s">
        <v>123</v>
      </c>
      <c r="J22" s="33" cm="1">
        <f t="array" ref="J22" xml:space="preserve"> INDEX(Assumption!$E$21:$E$23,Assumption!$E$2)*(Assumption!J54*Assumption!J55*Assumption!J8)</f>
        <v>8064000</v>
      </c>
      <c r="K22" s="33" cm="1">
        <f t="array" ref="K22" xml:space="preserve"> INDEX(Assumption!$E$21:$E$23,Assumption!$E$2)*(Assumption!K54*Assumption!K55*Assumption!K8)</f>
        <v>8064000</v>
      </c>
      <c r="L22" s="33" cm="1">
        <f t="array" ref="L22" xml:space="preserve"> INDEX(Assumption!$E$21:$E$23,Assumption!$E$2)*(Assumption!L54*Assumption!L55*Assumption!L8)</f>
        <v>8064000</v>
      </c>
      <c r="M22" s="33" cm="1">
        <f t="array" ref="M22" xml:space="preserve"> INDEX(Assumption!$E$21:$E$23,Assumption!$E$2)*(Assumption!M54*Assumption!M55*Assumption!M8)</f>
        <v>8064000</v>
      </c>
      <c r="N22" s="33" cm="1">
        <f t="array" ref="N22" xml:space="preserve"> INDEX(Assumption!$E$21:$E$23,Assumption!$E$2)*(Assumption!N54*Assumption!N55*Assumption!N8)</f>
        <v>8064000</v>
      </c>
    </row>
    <row r="23" spans="3:14" x14ac:dyDescent="0.35">
      <c r="D23" t="s">
        <v>87</v>
      </c>
      <c r="J23" s="33">
        <f>Assumption!J57*Workings!J12</f>
        <v>7406208</v>
      </c>
      <c r="K23" s="33">
        <f>Assumption!K57*Workings!K12</f>
        <v>7950528</v>
      </c>
      <c r="L23" s="33">
        <f>Assumption!L57*Workings!L12</f>
        <v>10354176</v>
      </c>
      <c r="M23" s="33">
        <f>Assumption!M57*Workings!M12</f>
        <v>12528000</v>
      </c>
      <c r="N23" s="33">
        <f>Assumption!N57*Workings!N12</f>
        <v>14852160</v>
      </c>
    </row>
    <row r="24" spans="3:14" ht="15" thickBot="1" x14ac:dyDescent="0.4">
      <c r="J24" s="30">
        <f>SUM(J19:J23)</f>
        <v>53282764.800000004</v>
      </c>
      <c r="K24" s="30">
        <f t="shared" ref="K24:N24" si="2">SUM(K19:K23)</f>
        <v>56330956.800000004</v>
      </c>
      <c r="L24" s="30">
        <f t="shared" si="2"/>
        <v>69791385.599999994</v>
      </c>
      <c r="M24" s="30">
        <f t="shared" si="2"/>
        <v>81964800</v>
      </c>
      <c r="N24" s="30">
        <f t="shared" si="2"/>
        <v>94980096</v>
      </c>
    </row>
    <row r="25" spans="3:14" ht="15" thickTop="1" x14ac:dyDescent="0.35">
      <c r="J25" s="28"/>
      <c r="K25" s="28"/>
      <c r="L25" s="28"/>
      <c r="M25" s="28"/>
      <c r="N25" s="28"/>
    </row>
    <row r="26" spans="3:14" x14ac:dyDescent="0.35">
      <c r="D26" t="s">
        <v>64</v>
      </c>
      <c r="J26" s="33">
        <f>Assumption!$E$14*Workings!J19</f>
        <v>10220567.040000001</v>
      </c>
      <c r="K26" s="33">
        <f>Assumption!$E$14*Workings!K19</f>
        <v>10971728.640000001</v>
      </c>
      <c r="L26" s="33">
        <f>Assumption!$E$14*Workings!L19</f>
        <v>14288762.880000001</v>
      </c>
      <c r="M26" s="33">
        <f>Assumption!$E$14*Workings!M19</f>
        <v>17288640</v>
      </c>
      <c r="N26" s="33">
        <f>Assumption!$E$14*Workings!N19</f>
        <v>20495980.800000001</v>
      </c>
    </row>
    <row r="27" spans="3:14" x14ac:dyDescent="0.35">
      <c r="D27" t="s">
        <v>124</v>
      </c>
      <c r="J27" s="33">
        <f>Assumption!$E$13*Workings!J24</f>
        <v>13320691.200000001</v>
      </c>
      <c r="K27" s="33">
        <f>Assumption!$E$13*Workings!K24</f>
        <v>14082739.200000001</v>
      </c>
      <c r="L27" s="33">
        <f>Assumption!$E$13*Workings!L24</f>
        <v>17447846.399999999</v>
      </c>
      <c r="M27" s="33">
        <f>Assumption!$E$13*Workings!M24</f>
        <v>20491200</v>
      </c>
      <c r="N27" s="33">
        <f>Assumption!$E$13*Workings!N24</f>
        <v>23745024</v>
      </c>
    </row>
    <row r="28" spans="3:14" x14ac:dyDescent="0.35">
      <c r="J28" s="28"/>
    </row>
    <row r="29" spans="3:14" x14ac:dyDescent="0.35">
      <c r="C29" s="25" t="s">
        <v>125</v>
      </c>
      <c r="D29" s="26"/>
      <c r="E29" s="26"/>
      <c r="F29" s="26"/>
      <c r="G29" s="26"/>
      <c r="H29" s="26"/>
      <c r="I29" s="26"/>
      <c r="J29" s="26"/>
      <c r="K29" s="26"/>
      <c r="L29" s="26"/>
      <c r="M29" s="26"/>
      <c r="N29" s="26"/>
    </row>
    <row r="31" spans="3:14" x14ac:dyDescent="0.35">
      <c r="E31" t="s">
        <v>101</v>
      </c>
      <c r="J31" s="33">
        <f>Assumption!J71*Assumption!J77*Assumption!$J$8</f>
        <v>9600000</v>
      </c>
      <c r="K31" s="33">
        <f>Assumption!K71*Assumption!K77*Assumption!$J$8</f>
        <v>9600000</v>
      </c>
      <c r="L31" s="33">
        <f>Assumption!L71*Assumption!L77*Assumption!$J$8</f>
        <v>9600000</v>
      </c>
      <c r="M31" s="33">
        <f>Assumption!M71*Assumption!M77*Assumption!$J$8</f>
        <v>9600000</v>
      </c>
      <c r="N31" s="33">
        <f>Assumption!N71*Assumption!N77*Assumption!$J$8</f>
        <v>9600000</v>
      </c>
    </row>
    <row r="32" spans="3:14" x14ac:dyDescent="0.35">
      <c r="E32" t="s">
        <v>102</v>
      </c>
      <c r="J32" s="33">
        <f>Assumption!J72*Assumption!J78*Assumption!J8</f>
        <v>8400000</v>
      </c>
      <c r="K32" s="33">
        <f>Assumption!K72*Assumption!K78*Assumption!K8</f>
        <v>8400000</v>
      </c>
      <c r="L32" s="33">
        <f>Assumption!L72*Assumption!L78*Assumption!L8</f>
        <v>8400000</v>
      </c>
      <c r="M32" s="33">
        <f>Assumption!M72*Assumption!M78*Assumption!M8</f>
        <v>8400000</v>
      </c>
      <c r="N32" s="33">
        <f>Assumption!N72*Assumption!N78*Assumption!N8</f>
        <v>8400000</v>
      </c>
    </row>
    <row r="33" spans="4:14" x14ac:dyDescent="0.35">
      <c r="E33" t="s">
        <v>103</v>
      </c>
      <c r="J33" s="33">
        <f>Assumption!J73*Assumption!J79*Assumption!$J$8</f>
        <v>6000000</v>
      </c>
      <c r="K33" s="33">
        <f>Assumption!K73*Assumption!K79*Assumption!$J$8</f>
        <v>6000000</v>
      </c>
      <c r="L33" s="33">
        <f>Assumption!L73*Assumption!L79*Assumption!$J$8</f>
        <v>6000000</v>
      </c>
      <c r="M33" s="33">
        <f>Assumption!M73*Assumption!M79*Assumption!$J$8</f>
        <v>6000000</v>
      </c>
      <c r="N33" s="33">
        <f>Assumption!N73*Assumption!N79*Assumption!$J$8</f>
        <v>6000000</v>
      </c>
    </row>
    <row r="34" spans="4:14" x14ac:dyDescent="0.35">
      <c r="E34" t="s">
        <v>104</v>
      </c>
      <c r="J34" s="33">
        <f>Assumption!J74*Assumption!J80*Assumption!J8</f>
        <v>10800000</v>
      </c>
      <c r="K34" s="33">
        <f>Assumption!K74*Assumption!K80*Assumption!K8</f>
        <v>10800000</v>
      </c>
      <c r="L34" s="33">
        <f>Assumption!L74*Assumption!L80*Assumption!L8</f>
        <v>10800000</v>
      </c>
      <c r="M34" s="33">
        <f>Assumption!M74*Assumption!M80*Assumption!M8</f>
        <v>10800000</v>
      </c>
      <c r="N34" s="33">
        <f>Assumption!N74*Assumption!N80*Assumption!N8</f>
        <v>10800000</v>
      </c>
    </row>
    <row r="35" spans="4:14" ht="15" thickBot="1" x14ac:dyDescent="0.4">
      <c r="E35" t="s">
        <v>105</v>
      </c>
      <c r="J35" s="52">
        <f>Assumption!J75*Assumption!J81*Assumption!J8</f>
        <v>12000000</v>
      </c>
      <c r="K35" s="52">
        <f>Assumption!K75*Assumption!K81*Assumption!K8</f>
        <v>12000000</v>
      </c>
      <c r="L35" s="52">
        <f>Assumption!L75*Assumption!L81*Assumption!L8</f>
        <v>12000000</v>
      </c>
      <c r="M35" s="52">
        <f>Assumption!M75*Assumption!M81*Assumption!M8</f>
        <v>12000000</v>
      </c>
      <c r="N35" s="52">
        <f>Assumption!N75*Assumption!N81*Assumption!N8</f>
        <v>12000000</v>
      </c>
    </row>
    <row r="36" spans="4:14" ht="15" thickTop="1" x14ac:dyDescent="0.35">
      <c r="D36" s="1" t="s">
        <v>100</v>
      </c>
      <c r="J36" s="32">
        <f>SUM(J31:J35)</f>
        <v>46800000</v>
      </c>
      <c r="K36" s="32">
        <f t="shared" ref="K36:N36" si="3">SUM(K31:K35)</f>
        <v>46800000</v>
      </c>
      <c r="L36" s="32">
        <f t="shared" si="3"/>
        <v>46800000</v>
      </c>
      <c r="M36" s="32">
        <f t="shared" si="3"/>
        <v>46800000</v>
      </c>
      <c r="N36" s="32">
        <f t="shared" si="3"/>
        <v>46800000</v>
      </c>
    </row>
    <row r="37" spans="4:14" x14ac:dyDescent="0.35">
      <c r="D37" t="s">
        <v>91</v>
      </c>
      <c r="J37" s="33" cm="1">
        <f t="array" ref="J37" xml:space="preserve"> INDEX(Assumption!$E$21:$E$23,Assumption!$E$2)*(Assumption!J60*Assumption!J8)</f>
        <v>1728000</v>
      </c>
      <c r="K37" s="33" cm="1">
        <f t="array" ref="K37" xml:space="preserve"> INDEX(Assumption!$E$21:$E$23,Assumption!$E$2)*(Assumption!K60*Assumption!K8)</f>
        <v>2016000</v>
      </c>
      <c r="L37" s="33" cm="1">
        <f t="array" ref="L37" xml:space="preserve"> INDEX(Assumption!$E$21:$E$23,Assumption!$E$2)*(Assumption!L60*Assumption!L8)</f>
        <v>2160000</v>
      </c>
      <c r="M37" s="33" cm="1">
        <f t="array" ref="M37" xml:space="preserve"> INDEX(Assumption!$E$21:$E$23,Assumption!$E$2)*(Assumption!M60*Assumption!M8)</f>
        <v>2448000</v>
      </c>
      <c r="N37" s="33" cm="1">
        <f t="array" ref="N37" xml:space="preserve"> INDEX(Assumption!$E$21:$E$23,Assumption!$E$2)*(Assumption!N60*Assumption!N8)</f>
        <v>2448000</v>
      </c>
    </row>
    <row r="38" spans="4:14" x14ac:dyDescent="0.35">
      <c r="D38" t="s">
        <v>92</v>
      </c>
      <c r="J38" s="33">
        <f>Assumption!J61*Assumption!J9</f>
        <v>320000</v>
      </c>
      <c r="K38" s="33">
        <f>Assumption!K61*Assumption!K9</f>
        <v>320000</v>
      </c>
      <c r="L38" s="33">
        <f>Assumption!L61*Assumption!L9</f>
        <v>320000</v>
      </c>
      <c r="M38" s="33">
        <f>Assumption!M61*Assumption!M9</f>
        <v>320000</v>
      </c>
      <c r="N38" s="33">
        <f>Assumption!N61*Assumption!N9</f>
        <v>320000</v>
      </c>
    </row>
    <row r="39" spans="4:14" x14ac:dyDescent="0.35">
      <c r="D39" t="s">
        <v>93</v>
      </c>
      <c r="J39" s="33">
        <f>Assumption!J62*Workings!J12</f>
        <v>2962483.2000000002</v>
      </c>
      <c r="K39" s="33">
        <f>Assumption!K62*Workings!K12</f>
        <v>3180211.2</v>
      </c>
      <c r="L39" s="33">
        <f>Assumption!L62*Workings!L12</f>
        <v>4141670.3999999999</v>
      </c>
      <c r="M39" s="33">
        <f>Assumption!M62*Workings!M12</f>
        <v>5011200</v>
      </c>
      <c r="N39" s="33">
        <f>Assumption!N62*Workings!N12</f>
        <v>5940864</v>
      </c>
    </row>
    <row r="40" spans="4:14" x14ac:dyDescent="0.35">
      <c r="D40" t="s">
        <v>94</v>
      </c>
      <c r="J40" s="33">
        <v>0</v>
      </c>
      <c r="K40" s="33">
        <f>Assumption!K63</f>
        <v>2500000</v>
      </c>
      <c r="L40" s="33">
        <f>Assumption!L63</f>
        <v>2500000</v>
      </c>
      <c r="M40" s="33">
        <f>Assumption!M63</f>
        <v>2500000</v>
      </c>
      <c r="N40" s="33">
        <f>Assumption!N63</f>
        <v>2500000</v>
      </c>
    </row>
    <row r="41" spans="4:14" x14ac:dyDescent="0.35">
      <c r="D41" t="s">
        <v>95</v>
      </c>
      <c r="J41" s="33">
        <f>Assumption!J64</f>
        <v>1000000</v>
      </c>
      <c r="K41" s="33">
        <f>Assumption!K64</f>
        <v>1000000</v>
      </c>
      <c r="L41" s="33">
        <f>Assumption!L64</f>
        <v>1000000</v>
      </c>
      <c r="M41" s="33">
        <f>Assumption!M64</f>
        <v>1000000</v>
      </c>
      <c r="N41" s="33">
        <f>Assumption!N64</f>
        <v>1000000</v>
      </c>
    </row>
    <row r="42" spans="4:14" x14ac:dyDescent="0.35">
      <c r="D42" t="s">
        <v>96</v>
      </c>
      <c r="J42" s="33" cm="1">
        <f t="array" ref="J42" xml:space="preserve"> INDEX(Assumption!$E$21:$E$23,Assumption!$E$2)*(Assumption!J65*Assumption!J8)</f>
        <v>2880000</v>
      </c>
      <c r="K42" s="33" cm="1">
        <f t="array" ref="K42" xml:space="preserve"> INDEX(Assumption!$E$21:$E$23,Assumption!$E$2)*(Assumption!K65*Assumption!K8)</f>
        <v>2880000</v>
      </c>
      <c r="L42" s="33" cm="1">
        <f t="array" ref="L42" xml:space="preserve"> INDEX(Assumption!$E$21:$E$23,Assumption!$E$2)*(Assumption!L65*Assumption!L8)</f>
        <v>2880000</v>
      </c>
      <c r="M42" s="33" cm="1">
        <f t="array" ref="M42" xml:space="preserve"> INDEX(Assumption!$E$21:$E$23,Assumption!$E$2)*(Assumption!M65*Assumption!M8)</f>
        <v>4320000</v>
      </c>
      <c r="N42" s="33" cm="1">
        <f t="array" ref="N42" xml:space="preserve"> INDEX(Assumption!$E$21:$E$23,Assumption!$E$2)*(Assumption!N65*Assumption!N8)</f>
        <v>4320000</v>
      </c>
    </row>
    <row r="43" spans="4:14" x14ac:dyDescent="0.35">
      <c r="D43" t="s">
        <v>97</v>
      </c>
      <c r="J43" s="33">
        <f>Assumption!J66</f>
        <v>1000000</v>
      </c>
      <c r="K43" s="33">
        <f>Assumption!K66</f>
        <v>1000000</v>
      </c>
      <c r="L43" s="33">
        <f>Assumption!L66</f>
        <v>1000000</v>
      </c>
      <c r="M43" s="33">
        <f>Assumption!M66</f>
        <v>1000000</v>
      </c>
      <c r="N43" s="33">
        <f>Assumption!N66</f>
        <v>1000000</v>
      </c>
    </row>
    <row r="44" spans="4:14" x14ac:dyDescent="0.35">
      <c r="D44" t="s">
        <v>98</v>
      </c>
      <c r="J44" s="33">
        <f>Assumption!J67</f>
        <v>800000</v>
      </c>
      <c r="K44" s="33">
        <f>Assumption!K67</f>
        <v>800000</v>
      </c>
      <c r="L44" s="33">
        <f>Assumption!L67</f>
        <v>800000</v>
      </c>
      <c r="M44" s="33">
        <f>Assumption!M67</f>
        <v>800000</v>
      </c>
      <c r="N44" s="33">
        <f>Assumption!N67</f>
        <v>800000</v>
      </c>
    </row>
    <row r="45" spans="4:14" x14ac:dyDescent="0.35">
      <c r="D45" t="s">
        <v>99</v>
      </c>
      <c r="J45" s="33">
        <f>Assumption!J68</f>
        <v>600000</v>
      </c>
      <c r="K45" s="33">
        <f>Assumption!K68</f>
        <v>600000</v>
      </c>
      <c r="L45" s="33">
        <f>Assumption!L68</f>
        <v>600000</v>
      </c>
      <c r="M45" s="33">
        <f>Assumption!M68</f>
        <v>600000</v>
      </c>
      <c r="N45" s="33">
        <f>Assumption!N68</f>
        <v>600000</v>
      </c>
    </row>
    <row r="46" spans="4:14" ht="15" thickBot="1" x14ac:dyDescent="0.4">
      <c r="D46" t="s">
        <v>157</v>
      </c>
      <c r="J46" s="52">
        <f>Assumption!E123</f>
        <v>4200000</v>
      </c>
      <c r="K46" s="53"/>
      <c r="L46" s="53"/>
      <c r="M46" s="53"/>
      <c r="N46" s="53"/>
    </row>
    <row r="47" spans="4:14" ht="15.5" thickTop="1" thickBot="1" x14ac:dyDescent="0.4">
      <c r="J47" s="31">
        <f>SUM(J36:J46)</f>
        <v>62290483.200000003</v>
      </c>
      <c r="K47" s="31">
        <f t="shared" ref="K47:N47" si="4">SUM(K36:K46)</f>
        <v>61096211.200000003</v>
      </c>
      <c r="L47" s="31">
        <f t="shared" si="4"/>
        <v>62201670.399999999</v>
      </c>
      <c r="M47" s="31">
        <f t="shared" si="4"/>
        <v>64799200</v>
      </c>
      <c r="N47" s="31">
        <f t="shared" si="4"/>
        <v>65728864</v>
      </c>
    </row>
    <row r="48" spans="4:14" ht="15" thickTop="1" x14ac:dyDescent="0.35"/>
    <row r="49" spans="3:14" x14ac:dyDescent="0.35">
      <c r="C49" s="25" t="s">
        <v>109</v>
      </c>
      <c r="D49" s="26"/>
      <c r="E49" s="26"/>
      <c r="F49" s="26"/>
      <c r="G49" s="26"/>
      <c r="H49" s="26"/>
      <c r="I49" s="26"/>
      <c r="J49" s="26"/>
      <c r="K49" s="26"/>
      <c r="L49" s="26"/>
      <c r="M49" s="26"/>
      <c r="N49" s="26"/>
    </row>
    <row r="51" spans="3:14" x14ac:dyDescent="0.35">
      <c r="D51" s="1" t="s">
        <v>111</v>
      </c>
      <c r="G51" t="s">
        <v>113</v>
      </c>
      <c r="H51" t="s">
        <v>128</v>
      </c>
    </row>
    <row r="52" spans="3:14" x14ac:dyDescent="0.35">
      <c r="E52" t="s">
        <v>110</v>
      </c>
      <c r="G52">
        <f>Assumption!G89</f>
        <v>5</v>
      </c>
      <c r="H52">
        <f>Assumption!G90</f>
        <v>600000</v>
      </c>
      <c r="J52" s="33">
        <f>Assumption!J87*Assumption!J88</f>
        <v>15000000</v>
      </c>
      <c r="K52" s="33">
        <f>Assumption!K87*Assumption!K88</f>
        <v>0</v>
      </c>
      <c r="L52" s="33">
        <f>Assumption!L87*Assumption!L88</f>
        <v>0</v>
      </c>
      <c r="M52" s="33">
        <f>Assumption!M87*Assumption!M88</f>
        <v>9000000</v>
      </c>
      <c r="N52" s="33">
        <f>Assumption!N87*Assumption!N88</f>
        <v>0</v>
      </c>
    </row>
    <row r="53" spans="3:14" x14ac:dyDescent="0.35">
      <c r="E53" t="s">
        <v>115</v>
      </c>
      <c r="G53">
        <f>Assumption!G95</f>
        <v>4</v>
      </c>
      <c r="H53">
        <f>Assumption!G96</f>
        <v>0</v>
      </c>
      <c r="J53" s="33">
        <f>Assumption!J93*Assumption!J94</f>
        <v>4000000</v>
      </c>
      <c r="K53" s="33">
        <f>Assumption!K93*Assumption!K94</f>
        <v>0</v>
      </c>
      <c r="L53" s="33">
        <f>Assumption!L93*Assumption!L94</f>
        <v>0</v>
      </c>
      <c r="M53" s="33">
        <f>Assumption!M93*Assumption!M94</f>
        <v>0</v>
      </c>
      <c r="N53" s="33">
        <f>Assumption!N93*Assumption!N94</f>
        <v>1000000</v>
      </c>
    </row>
    <row r="54" spans="3:14" x14ac:dyDescent="0.35">
      <c r="E54" t="s">
        <v>116</v>
      </c>
      <c r="G54">
        <f>Assumption!G101</f>
        <v>5</v>
      </c>
      <c r="H54">
        <f>Assumption!G102</f>
        <v>0</v>
      </c>
      <c r="J54" s="33">
        <f>Assumption!J99*Assumption!J100</f>
        <v>15000000</v>
      </c>
      <c r="K54" s="33">
        <f>Assumption!K99*Assumption!K100</f>
        <v>0</v>
      </c>
      <c r="L54" s="33">
        <f>Assumption!L99*Assumption!L100</f>
        <v>0</v>
      </c>
      <c r="M54" s="33">
        <f>Assumption!M99*Assumption!M100</f>
        <v>0</v>
      </c>
      <c r="N54" s="33">
        <f>Assumption!N99*Assumption!N100</f>
        <v>15000000</v>
      </c>
    </row>
    <row r="55" spans="3:14" x14ac:dyDescent="0.35">
      <c r="E55" t="s">
        <v>117</v>
      </c>
      <c r="G55">
        <f>Assumption!G107</f>
        <v>4</v>
      </c>
      <c r="H55">
        <f>Assumption!G108</f>
        <v>0</v>
      </c>
      <c r="J55" s="33">
        <f>Assumption!J105*Assumption!J106</f>
        <v>3500000</v>
      </c>
      <c r="K55" s="33">
        <f>Assumption!K105*Assumption!K106</f>
        <v>0</v>
      </c>
      <c r="L55" s="33">
        <f>Assumption!L105*Assumption!L106</f>
        <v>0</v>
      </c>
      <c r="M55" s="33">
        <f>Assumption!M105*Assumption!M106</f>
        <v>0</v>
      </c>
      <c r="N55" s="33">
        <f>Assumption!N105*Assumption!N106</f>
        <v>7000000</v>
      </c>
    </row>
    <row r="56" spans="3:14" x14ac:dyDescent="0.35">
      <c r="E56" t="s">
        <v>118</v>
      </c>
      <c r="F56" t="s">
        <v>126</v>
      </c>
      <c r="G56">
        <f>Assumption!G113</f>
        <v>25</v>
      </c>
      <c r="J56" s="33">
        <f>Assumption!J111*Assumption!J112*Assumption!G114</f>
        <v>21000000</v>
      </c>
      <c r="K56" s="33">
        <f>Assumption!K111*Assumption!K112*Assumption!H114</f>
        <v>0</v>
      </c>
      <c r="L56" s="33">
        <f>Assumption!L111*Assumption!L112*Assumption!I114</f>
        <v>0</v>
      </c>
      <c r="M56" s="33">
        <f>Assumption!M111*Assumption!M112*Assumption!J114</f>
        <v>0</v>
      </c>
      <c r="N56" s="33">
        <f>Assumption!N111*Assumption!N112*Assumption!K114</f>
        <v>0</v>
      </c>
    </row>
    <row r="57" spans="3:14" ht="15" thickBot="1" x14ac:dyDescent="0.4">
      <c r="F57" t="s">
        <v>127</v>
      </c>
      <c r="J57" s="34">
        <f>Assumption!J111*Assumption!J112*Assumption!G115</f>
        <v>9000000</v>
      </c>
      <c r="K57" s="34">
        <f>Assumption!K111*Assumption!K112*Assumption!H115</f>
        <v>0</v>
      </c>
      <c r="L57" s="34">
        <f>Assumption!L111*Assumption!L112*Assumption!I115</f>
        <v>0</v>
      </c>
      <c r="M57" s="34">
        <f>Assumption!M111*Assumption!M112*Assumption!J115</f>
        <v>0</v>
      </c>
      <c r="N57" s="34">
        <f>Assumption!N111*Assumption!N112*Assumption!K115</f>
        <v>0</v>
      </c>
    </row>
    <row r="58" spans="3:14" ht="15.5" thickTop="1" thickBot="1" x14ac:dyDescent="0.4">
      <c r="J58" s="31">
        <f>SUM(J52:J57)</f>
        <v>67500000</v>
      </c>
      <c r="K58" s="31">
        <f t="shared" ref="K58:N58" si="5">SUM(K52:K57)</f>
        <v>0</v>
      </c>
      <c r="L58" s="31">
        <f t="shared" si="5"/>
        <v>0</v>
      </c>
      <c r="M58" s="31">
        <f t="shared" si="5"/>
        <v>9000000</v>
      </c>
      <c r="N58" s="31">
        <f t="shared" si="5"/>
        <v>23000000</v>
      </c>
    </row>
    <row r="59" spans="3:14" ht="15" thickTop="1" x14ac:dyDescent="0.35"/>
    <row r="60" spans="3:14" x14ac:dyDescent="0.35">
      <c r="D60" s="1" t="s">
        <v>129</v>
      </c>
    </row>
    <row r="61" spans="3:14" x14ac:dyDescent="0.35">
      <c r="E61" t="s">
        <v>110</v>
      </c>
      <c r="J61" s="36">
        <f>SLN(SUM($J52:J52),$H52,$G52)</f>
        <v>2880000</v>
      </c>
      <c r="K61" s="36">
        <f>SLN(SUM($J52:K52),$H52,$G52)</f>
        <v>2880000</v>
      </c>
      <c r="L61" s="36">
        <f>SLN(SUM($J52:L52),$H52,$G52)</f>
        <v>2880000</v>
      </c>
      <c r="M61" s="36">
        <f>SLN(SUM($J52:M52),$H52,$G52)</f>
        <v>4680000</v>
      </c>
      <c r="N61" s="36">
        <f>SLN(SUM($J52:N52),$H52,$G52)</f>
        <v>4680000</v>
      </c>
    </row>
    <row r="62" spans="3:14" x14ac:dyDescent="0.35">
      <c r="E62" t="s">
        <v>115</v>
      </c>
      <c r="J62" s="36">
        <f>SLN(SUM($J53:J53),$H53,$G53)</f>
        <v>1000000</v>
      </c>
      <c r="K62" s="36">
        <f>SLN(SUM($J53:K53),$H53,$G53)</f>
        <v>1000000</v>
      </c>
      <c r="L62" s="36">
        <f>SLN(SUM($J53:L53),$H53,$G53)</f>
        <v>1000000</v>
      </c>
      <c r="M62" s="36">
        <f>SLN(SUM($J53:M53),$H53,$G53)</f>
        <v>1000000</v>
      </c>
      <c r="N62" s="36">
        <f>SLN(SUM($N53:N53),$H53,$G53)</f>
        <v>250000</v>
      </c>
    </row>
    <row r="63" spans="3:14" x14ac:dyDescent="0.35">
      <c r="E63" t="s">
        <v>116</v>
      </c>
      <c r="J63" s="36">
        <f>SLN(SUM($J54:J54),$H54,$G54)</f>
        <v>3000000</v>
      </c>
      <c r="K63" s="36">
        <f>SLN(SUM($J54:K54),$H54,$G54)</f>
        <v>3000000</v>
      </c>
      <c r="L63" s="36">
        <f>SLN(SUM($J54:L54),$H54,$G54)</f>
        <v>3000000</v>
      </c>
      <c r="M63" s="36">
        <f>SLN(SUM($J54:M54),$H54,$G54)</f>
        <v>3000000</v>
      </c>
      <c r="N63" s="36">
        <f>SLN(SUM($J54:N54),$H54,$G54)</f>
        <v>6000000</v>
      </c>
    </row>
    <row r="64" spans="3:14" x14ac:dyDescent="0.35">
      <c r="E64" t="s">
        <v>117</v>
      </c>
      <c r="J64" s="36">
        <f>SLN(SUM($J55:J55),$H55,$G55)</f>
        <v>875000</v>
      </c>
      <c r="K64" s="36">
        <f>SLN(SUM($J55:K55),$H55,$G55)</f>
        <v>875000</v>
      </c>
      <c r="L64" s="36">
        <f>SLN(SUM($J55:L55),$H55,$G55)</f>
        <v>875000</v>
      </c>
      <c r="M64" s="36">
        <f>SLN(SUM($J55:M55),$H55,$G55)</f>
        <v>875000</v>
      </c>
      <c r="N64" s="36">
        <f>SLN(SUM($N55:N55),$H55,$G55)</f>
        <v>1750000</v>
      </c>
    </row>
    <row r="65" spans="4:14" ht="15" thickBot="1" x14ac:dyDescent="0.4">
      <c r="E65" t="s">
        <v>118</v>
      </c>
      <c r="F65" t="s">
        <v>126</v>
      </c>
      <c r="J65" s="38">
        <f>SLN(SUM($J56:J56),$H56,$G56)</f>
        <v>840000</v>
      </c>
      <c r="K65" s="38">
        <f>SLN(SUM($J56:K56),$H56,$G56)</f>
        <v>840000</v>
      </c>
      <c r="L65" s="38">
        <f>SLN(SUM($J56:L56),$H56,$G56)</f>
        <v>840000</v>
      </c>
      <c r="M65" s="38">
        <f>SLN(SUM($J56:M56),$H56,$G56)</f>
        <v>840000</v>
      </c>
      <c r="N65" s="38">
        <f>SLN(SUM($J56:N56),$H56,$G56)</f>
        <v>840000</v>
      </c>
    </row>
    <row r="66" spans="4:14" ht="15.5" thickTop="1" thickBot="1" x14ac:dyDescent="0.4">
      <c r="J66" s="39">
        <f>SUM(J61:J65)</f>
        <v>8595000</v>
      </c>
      <c r="K66" s="39">
        <f t="shared" ref="K66:N66" si="6">SUM(K61:K65)</f>
        <v>8595000</v>
      </c>
      <c r="L66" s="39">
        <f t="shared" si="6"/>
        <v>8595000</v>
      </c>
      <c r="M66" s="39">
        <f t="shared" si="6"/>
        <v>10395000</v>
      </c>
      <c r="N66" s="39">
        <f t="shared" si="6"/>
        <v>13520000</v>
      </c>
    </row>
    <row r="67" spans="4:14" ht="15" thickTop="1" x14ac:dyDescent="0.35"/>
    <row r="68" spans="4:14" x14ac:dyDescent="0.35">
      <c r="D68" s="1" t="s">
        <v>130</v>
      </c>
    </row>
    <row r="69" spans="4:14" x14ac:dyDescent="0.35">
      <c r="E69" t="s">
        <v>110</v>
      </c>
      <c r="J69" s="36">
        <f>I69+J61</f>
        <v>2880000</v>
      </c>
      <c r="K69" s="36">
        <f t="shared" ref="K69:N69" si="7">J69+K61</f>
        <v>5760000</v>
      </c>
      <c r="L69" s="36">
        <f t="shared" si="7"/>
        <v>8640000</v>
      </c>
      <c r="M69" s="36">
        <f t="shared" si="7"/>
        <v>13320000</v>
      </c>
      <c r="N69" s="36">
        <f t="shared" si="7"/>
        <v>18000000</v>
      </c>
    </row>
    <row r="70" spans="4:14" x14ac:dyDescent="0.35">
      <c r="E70" t="s">
        <v>115</v>
      </c>
      <c r="J70" s="36">
        <f>I70+J62</f>
        <v>1000000</v>
      </c>
      <c r="K70" s="36">
        <f>J70+K62</f>
        <v>2000000</v>
      </c>
      <c r="L70" s="36">
        <f>K70+L62</f>
        <v>3000000</v>
      </c>
      <c r="M70" s="36">
        <f>L70+M62</f>
        <v>4000000</v>
      </c>
      <c r="N70" s="36">
        <f>M70+N62</f>
        <v>4250000</v>
      </c>
    </row>
    <row r="71" spans="4:14" x14ac:dyDescent="0.35">
      <c r="E71" t="s">
        <v>116</v>
      </c>
      <c r="J71" s="36">
        <f>I71+J63</f>
        <v>3000000</v>
      </c>
      <c r="K71" s="36">
        <f>J71+K63</f>
        <v>6000000</v>
      </c>
      <c r="L71" s="36">
        <f>K71+L63</f>
        <v>9000000</v>
      </c>
      <c r="M71" s="36">
        <f>L71+M63</f>
        <v>12000000</v>
      </c>
      <c r="N71" s="36">
        <f>M71+N63</f>
        <v>18000000</v>
      </c>
    </row>
    <row r="72" spans="4:14" x14ac:dyDescent="0.35">
      <c r="E72" t="s">
        <v>117</v>
      </c>
      <c r="J72" s="36">
        <f>I72+J64</f>
        <v>875000</v>
      </c>
      <c r="K72" s="36">
        <f>J72+K64</f>
        <v>1750000</v>
      </c>
      <c r="L72" s="36">
        <f>K72+L64</f>
        <v>2625000</v>
      </c>
      <c r="M72" s="36">
        <f>L72+M64</f>
        <v>3500000</v>
      </c>
      <c r="N72" s="36">
        <f>M72+N64</f>
        <v>5250000</v>
      </c>
    </row>
    <row r="73" spans="4:14" ht="15" thickBot="1" x14ac:dyDescent="0.4">
      <c r="E73" t="s">
        <v>118</v>
      </c>
      <c r="F73" t="s">
        <v>126</v>
      </c>
      <c r="J73" s="38">
        <f>I73+J65</f>
        <v>840000</v>
      </c>
      <c r="K73" s="38">
        <f>J73+K65</f>
        <v>1680000</v>
      </c>
      <c r="L73" s="38">
        <f>K73+L65</f>
        <v>2520000</v>
      </c>
      <c r="M73" s="38">
        <f>L73+M65</f>
        <v>3360000</v>
      </c>
      <c r="N73" s="38">
        <f>M73+N65</f>
        <v>4200000</v>
      </c>
    </row>
    <row r="74" spans="4:14" ht="15.5" thickTop="1" thickBot="1" x14ac:dyDescent="0.4">
      <c r="J74" s="39">
        <f>SUM(J69:J73)</f>
        <v>8595000</v>
      </c>
      <c r="K74" s="39">
        <f t="shared" ref="K74:N74" si="8">SUM(K69:K73)</f>
        <v>17190000</v>
      </c>
      <c r="L74" s="39">
        <f t="shared" si="8"/>
        <v>25785000</v>
      </c>
      <c r="M74" s="39">
        <f t="shared" si="8"/>
        <v>36180000</v>
      </c>
      <c r="N74" s="39">
        <f t="shared" si="8"/>
        <v>49700000</v>
      </c>
    </row>
    <row r="75" spans="4:14" ht="15" thickTop="1" x14ac:dyDescent="0.35"/>
    <row r="76" spans="4:14" x14ac:dyDescent="0.35">
      <c r="D76" s="1" t="s">
        <v>131</v>
      </c>
    </row>
    <row r="77" spans="4:14" x14ac:dyDescent="0.35">
      <c r="E77" t="s">
        <v>132</v>
      </c>
      <c r="J77" s="28">
        <f>I77+J58</f>
        <v>67500000</v>
      </c>
      <c r="K77" s="28">
        <f t="shared" ref="K77:N77" si="9">J77+K58</f>
        <v>67500000</v>
      </c>
      <c r="L77" s="28">
        <f t="shared" si="9"/>
        <v>67500000</v>
      </c>
      <c r="M77" s="28">
        <f t="shared" si="9"/>
        <v>76500000</v>
      </c>
      <c r="N77" s="28">
        <f t="shared" si="9"/>
        <v>99500000</v>
      </c>
    </row>
    <row r="78" spans="4:14" x14ac:dyDescent="0.35">
      <c r="E78" t="s">
        <v>133</v>
      </c>
      <c r="J78" s="40">
        <f>-J74</f>
        <v>-8595000</v>
      </c>
      <c r="K78" s="40">
        <f t="shared" ref="K78:N78" si="10">-K74</f>
        <v>-17190000</v>
      </c>
      <c r="L78" s="40">
        <f t="shared" si="10"/>
        <v>-25785000</v>
      </c>
      <c r="M78" s="40">
        <f t="shared" si="10"/>
        <v>-36180000</v>
      </c>
      <c r="N78" s="40">
        <f t="shared" si="10"/>
        <v>-49700000</v>
      </c>
    </row>
    <row r="79" spans="4:14" x14ac:dyDescent="0.35">
      <c r="E79" t="s">
        <v>134</v>
      </c>
      <c r="J79" s="28">
        <f>J77+J78</f>
        <v>58905000</v>
      </c>
      <c r="K79" s="28">
        <f t="shared" ref="K79:N79" si="11">K77+K78</f>
        <v>50310000</v>
      </c>
      <c r="L79" s="28">
        <f t="shared" si="11"/>
        <v>41715000</v>
      </c>
      <c r="M79" s="28">
        <f t="shared" si="11"/>
        <v>40320000</v>
      </c>
      <c r="N79" s="28">
        <f t="shared" si="11"/>
        <v>49800000</v>
      </c>
    </row>
    <row r="81" spans="3:14" x14ac:dyDescent="0.35">
      <c r="C81" s="25" t="s">
        <v>143</v>
      </c>
      <c r="D81" s="26"/>
      <c r="E81" s="26"/>
      <c r="F81" s="26"/>
      <c r="G81" s="26"/>
      <c r="H81" s="26"/>
      <c r="I81" s="26"/>
      <c r="J81" s="26"/>
      <c r="K81" s="26"/>
      <c r="L81" s="26"/>
      <c r="M81" s="26"/>
      <c r="N81" s="26"/>
    </row>
    <row r="83" spans="3:14" x14ac:dyDescent="0.35">
      <c r="D83" t="s">
        <v>135</v>
      </c>
      <c r="J83" s="45">
        <f>J58</f>
        <v>67500000</v>
      </c>
    </row>
    <row r="84" spans="3:14" x14ac:dyDescent="0.35">
      <c r="D84" t="s">
        <v>136</v>
      </c>
      <c r="J84" s="16"/>
    </row>
    <row r="85" spans="3:14" x14ac:dyDescent="0.35">
      <c r="E85" t="s">
        <v>137</v>
      </c>
      <c r="J85" s="33">
        <f>Assumption!E123</f>
        <v>4200000</v>
      </c>
    </row>
    <row r="86" spans="3:14" x14ac:dyDescent="0.35">
      <c r="E86" t="s">
        <v>138</v>
      </c>
      <c r="G86" s="41">
        <v>4</v>
      </c>
      <c r="J86" s="45">
        <f>J24/G86</f>
        <v>13320691.200000001</v>
      </c>
    </row>
    <row r="87" spans="3:14" ht="15" thickBot="1" x14ac:dyDescent="0.4">
      <c r="E87" t="s">
        <v>139</v>
      </c>
      <c r="G87" s="41">
        <v>4</v>
      </c>
      <c r="J87" s="92">
        <f>J47/G87</f>
        <v>15572620.800000001</v>
      </c>
    </row>
    <row r="88" spans="3:14" ht="15.5" thickTop="1" thickBot="1" x14ac:dyDescent="0.4">
      <c r="J88" s="29">
        <f>SUM(J83:J87)</f>
        <v>100593312</v>
      </c>
    </row>
    <row r="89" spans="3:14" ht="15" thickTop="1" x14ac:dyDescent="0.35"/>
    <row r="90" spans="3:14" x14ac:dyDescent="0.35">
      <c r="D90" t="s">
        <v>140</v>
      </c>
      <c r="J90" s="45">
        <f>J88*Assumption!E127</f>
        <v>70415318.399999991</v>
      </c>
    </row>
    <row r="91" spans="3:14" ht="15" thickBot="1" x14ac:dyDescent="0.4">
      <c r="D91" t="s">
        <v>141</v>
      </c>
      <c r="J91" s="92">
        <f>J88*Assumption!E128</f>
        <v>30177993.599999998</v>
      </c>
    </row>
    <row r="92" spans="3:14" ht="15.5" thickTop="1" thickBot="1" x14ac:dyDescent="0.4">
      <c r="D92" t="s">
        <v>142</v>
      </c>
      <c r="J92" s="29">
        <f>SUM(J90:J91)</f>
        <v>100593311.99999999</v>
      </c>
    </row>
    <row r="93" spans="3:14" ht="15" thickTop="1" x14ac:dyDescent="0.35"/>
    <row r="94" spans="3:14" x14ac:dyDescent="0.35">
      <c r="C94" s="25" t="s">
        <v>164</v>
      </c>
      <c r="D94" s="26"/>
      <c r="E94" s="26"/>
      <c r="F94" s="26"/>
      <c r="G94" s="26"/>
      <c r="H94" s="26"/>
      <c r="I94" s="26"/>
      <c r="J94" s="26"/>
      <c r="K94" s="26"/>
      <c r="L94" s="26"/>
      <c r="M94" s="26"/>
      <c r="N94" s="26"/>
    </row>
    <row r="96" spans="3:14" x14ac:dyDescent="0.35">
      <c r="D96" t="s">
        <v>158</v>
      </c>
      <c r="J96" s="16">
        <f>I101</f>
        <v>0</v>
      </c>
      <c r="K96" s="33">
        <f t="shared" ref="K96:N96" si="12">J101</f>
        <v>28635400.190145597</v>
      </c>
      <c r="L96" s="33">
        <f t="shared" si="12"/>
        <v>27171658.75632602</v>
      </c>
      <c r="M96" s="33">
        <f t="shared" si="12"/>
        <v>25782738.661508277</v>
      </c>
      <c r="N96" s="33">
        <f t="shared" si="12"/>
        <v>24464815.300717287</v>
      </c>
    </row>
    <row r="97" spans="3:14" x14ac:dyDescent="0.35">
      <c r="D97" t="s">
        <v>159</v>
      </c>
      <c r="J97" s="45">
        <f>J91</f>
        <v>30177993.599999998</v>
      </c>
      <c r="K97" s="45">
        <f t="shared" ref="K97:N97" si="13">K91</f>
        <v>0</v>
      </c>
      <c r="L97" s="45">
        <f t="shared" si="13"/>
        <v>0</v>
      </c>
      <c r="M97" s="45">
        <f t="shared" si="13"/>
        <v>0</v>
      </c>
      <c r="N97" s="45">
        <f t="shared" si="13"/>
        <v>0</v>
      </c>
    </row>
    <row r="98" spans="3:14" x14ac:dyDescent="0.35">
      <c r="D98" t="s">
        <v>160</v>
      </c>
      <c r="J98" s="33">
        <f>SUM(J96:J97)*Assumption!$E$135</f>
        <v>4218883.5052800002</v>
      </c>
      <c r="K98" s="33">
        <f>SUM(K96:K97)*Assumption!$E$135</f>
        <v>4003228.9465823546</v>
      </c>
      <c r="L98" s="33">
        <f>SUM(L96:L97)*Assumption!$E$135</f>
        <v>3798597.8941343776</v>
      </c>
      <c r="M98" s="33">
        <f>SUM(M96:M97)*Assumption!$E$135</f>
        <v>3604426.8648788575</v>
      </c>
      <c r="N98" s="33">
        <f>SUM(N96:N97)*Assumption!$E$135</f>
        <v>3420181.1790402769</v>
      </c>
    </row>
    <row r="99" spans="3:14" x14ac:dyDescent="0.35">
      <c r="D99" t="s">
        <v>161</v>
      </c>
      <c r="J99" s="33">
        <f>-SUM(J96:J98)*Assumption!$E$136</f>
        <v>-5761476.9151344001</v>
      </c>
      <c r="K99" s="33">
        <f>-SUM(K96:K98)*Assumption!$E$136</f>
        <v>-5466970.3804019326</v>
      </c>
      <c r="L99" s="33">
        <f>-SUM(L96:L98)*Assumption!$E$136</f>
        <v>-5187517.988952117</v>
      </c>
      <c r="M99" s="33">
        <f>-SUM(M96:M98)*Assumption!$E$136</f>
        <v>-4922350.225669845</v>
      </c>
      <c r="N99" s="33">
        <f>-SUM(N96:N98)*Assumption!$E$136</f>
        <v>-4670736.9103593919</v>
      </c>
    </row>
    <row r="100" spans="3:14" x14ac:dyDescent="0.35">
      <c r="D100" t="s">
        <v>162</v>
      </c>
      <c r="J100" s="16">
        <v>0</v>
      </c>
      <c r="K100" s="16">
        <v>0</v>
      </c>
      <c r="L100" s="16">
        <v>0</v>
      </c>
      <c r="M100" s="16">
        <v>0</v>
      </c>
      <c r="N100" s="46">
        <f>-IF(N5=Assumption!E138,SUM(Workings!N96:N99))</f>
        <v>-23214259.569398172</v>
      </c>
    </row>
    <row r="101" spans="3:14" x14ac:dyDescent="0.35">
      <c r="D101" t="s">
        <v>163</v>
      </c>
      <c r="J101" s="33">
        <f>SUM(J96:J100)</f>
        <v>28635400.190145597</v>
      </c>
      <c r="K101" s="33">
        <f t="shared" ref="K101:N101" si="14">SUM(K96:K100)</f>
        <v>27171658.75632602</v>
      </c>
      <c r="L101" s="33">
        <f t="shared" si="14"/>
        <v>25782738.661508277</v>
      </c>
      <c r="M101" s="33">
        <f t="shared" si="14"/>
        <v>24464815.300717287</v>
      </c>
      <c r="N101" s="33">
        <f t="shared" si="14"/>
        <v>0</v>
      </c>
    </row>
    <row r="102" spans="3:14" x14ac:dyDescent="0.35">
      <c r="D102" t="s">
        <v>22</v>
      </c>
      <c r="J102" s="45">
        <f>$J$97-J101</f>
        <v>1542593.4098544009</v>
      </c>
      <c r="K102" s="45">
        <f t="shared" ref="K102:N102" si="15">$J$97-K101</f>
        <v>3006334.843673978</v>
      </c>
      <c r="L102" s="45">
        <f t="shared" si="15"/>
        <v>4395254.9384917207</v>
      </c>
      <c r="M102" s="45">
        <f t="shared" si="15"/>
        <v>5713178.299282711</v>
      </c>
      <c r="N102" s="45">
        <f t="shared" si="15"/>
        <v>30177993.599999998</v>
      </c>
    </row>
    <row r="104" spans="3:14" x14ac:dyDescent="0.35">
      <c r="C104" s="25" t="s">
        <v>165</v>
      </c>
      <c r="D104" s="26"/>
      <c r="E104" s="26"/>
      <c r="F104" s="26"/>
      <c r="G104" s="26"/>
      <c r="H104" s="26"/>
      <c r="I104" s="26"/>
      <c r="J104" s="26"/>
      <c r="K104" s="26"/>
      <c r="L104" s="26"/>
      <c r="M104" s="26"/>
      <c r="N104" s="26"/>
    </row>
    <row r="106" spans="3:14" x14ac:dyDescent="0.35">
      <c r="D106" t="s">
        <v>166</v>
      </c>
      <c r="J106" s="45">
        <f>J14/Assumption!J8</f>
        <v>2468736</v>
      </c>
      <c r="K106" s="45">
        <f>K14/Assumption!K8</f>
        <v>2650176</v>
      </c>
      <c r="L106" s="45">
        <f>L14/Assumption!L8</f>
        <v>3451392</v>
      </c>
      <c r="M106" s="45">
        <f>M14/Assumption!M8</f>
        <v>4176000</v>
      </c>
      <c r="N106" s="45">
        <f>N14/Assumption!N8</f>
        <v>4950720</v>
      </c>
    </row>
    <row r="108" spans="3:14" x14ac:dyDescent="0.35">
      <c r="C108" s="25" t="s">
        <v>167</v>
      </c>
      <c r="D108" s="26"/>
      <c r="E108" s="26"/>
      <c r="F108" s="26"/>
      <c r="G108" s="26"/>
      <c r="H108" s="26"/>
      <c r="I108" s="26"/>
      <c r="J108" s="26"/>
      <c r="K108" s="26"/>
      <c r="L108" s="26"/>
      <c r="M108" s="26"/>
      <c r="N108" s="26"/>
    </row>
    <row r="110" spans="3:14" x14ac:dyDescent="0.35">
      <c r="D110" t="s">
        <v>168</v>
      </c>
      <c r="J110" s="45">
        <f>J26/Assumption!J8</f>
        <v>851713.92</v>
      </c>
      <c r="K110" s="45">
        <f>K26/Assumption!K8</f>
        <v>914310.72000000009</v>
      </c>
      <c r="L110" s="45">
        <f>L26/Assumption!L8</f>
        <v>1190730.24</v>
      </c>
      <c r="M110" s="45">
        <f>M26/Assumption!M8</f>
        <v>1440720</v>
      </c>
      <c r="N110" s="45">
        <f>N26/Assumption!N8</f>
        <v>1707998.4000000001</v>
      </c>
    </row>
    <row r="112" spans="3:14" x14ac:dyDescent="0.35">
      <c r="C112" s="25" t="s">
        <v>181</v>
      </c>
      <c r="D112" s="26"/>
      <c r="E112" s="26"/>
      <c r="F112" s="26"/>
      <c r="G112" s="26"/>
      <c r="H112" s="26"/>
      <c r="I112" s="26"/>
      <c r="J112" s="26"/>
      <c r="K112" s="26"/>
      <c r="L112" s="26"/>
      <c r="M112" s="26"/>
      <c r="N112" s="26"/>
    </row>
    <row r="114" spans="3:14" x14ac:dyDescent="0.35">
      <c r="D114" t="s">
        <v>179</v>
      </c>
      <c r="J114" s="36">
        <f>'Income Statement'!I22</f>
        <v>18194435.084865585</v>
      </c>
      <c r="K114" s="36">
        <f>'Income Statement'!J22</f>
        <v>27521421.619598053</v>
      </c>
      <c r="L114" s="36">
        <f>'Income Statement'!K22</f>
        <v>61307946.011047885</v>
      </c>
      <c r="M114" s="36">
        <f>'Income Statement'!L22</f>
        <v>88478649.774330154</v>
      </c>
      <c r="N114" s="36">
        <f>'Income Statement'!M22</f>
        <v>94929243.520242438</v>
      </c>
    </row>
    <row r="115" spans="3:14" x14ac:dyDescent="0.35">
      <c r="J115" s="16"/>
      <c r="K115" s="16"/>
      <c r="L115" s="16"/>
      <c r="M115" s="16"/>
      <c r="N115" s="16"/>
    </row>
    <row r="116" spans="3:14" x14ac:dyDescent="0.35">
      <c r="D116" t="s">
        <v>180</v>
      </c>
      <c r="J116" s="33">
        <f>IF(J114&gt;0,J114*Assumption!$E$15,0)</f>
        <v>5913191.4025813155</v>
      </c>
      <c r="K116" s="33">
        <f>IF(K114&gt;0,K114*Assumption!$E$15,0)</f>
        <v>8944462.0263693668</v>
      </c>
      <c r="L116" s="33">
        <f>IF(L114&gt;0,L114*Assumption!$E$15,0)</f>
        <v>19925082.453590564</v>
      </c>
      <c r="M116" s="33">
        <f>IF(M114&gt;0,M114*Assumption!$E$15,0)</f>
        <v>28755561.1766573</v>
      </c>
      <c r="N116" s="33">
        <f>IF(N114&gt;0,N114*Assumption!$E$15,0)</f>
        <v>30852004.144078795</v>
      </c>
    </row>
    <row r="118" spans="3:14" x14ac:dyDescent="0.35">
      <c r="C118" s="25" t="s">
        <v>202</v>
      </c>
      <c r="D118" s="26"/>
      <c r="E118" s="26"/>
      <c r="F118" s="26"/>
      <c r="G118" s="26"/>
      <c r="H118" s="26"/>
      <c r="I118" s="26"/>
      <c r="J118" s="26"/>
      <c r="K118" s="26"/>
      <c r="L118" s="26"/>
      <c r="M118" s="26"/>
      <c r="N118" s="26"/>
    </row>
    <row r="120" spans="3:14" x14ac:dyDescent="0.35">
      <c r="D120" t="s">
        <v>182</v>
      </c>
      <c r="J120" s="36">
        <f>'Income Statement'!I26</f>
        <v>12281243.682284269</v>
      </c>
      <c r="K120" s="36">
        <f>'Income Statement'!J26</f>
        <v>18576959.593228687</v>
      </c>
      <c r="L120" s="36">
        <f>'Income Statement'!K26</f>
        <v>41382863.55745732</v>
      </c>
      <c r="M120" s="36">
        <f>'Income Statement'!L26</f>
        <v>59723088.59767285</v>
      </c>
      <c r="N120" s="36">
        <f>'Income Statement'!M26</f>
        <v>64077239.376163647</v>
      </c>
    </row>
    <row r="121" spans="3:14" x14ac:dyDescent="0.35">
      <c r="J121" s="16"/>
      <c r="K121" s="16"/>
      <c r="L121" s="16"/>
      <c r="M121" s="16"/>
      <c r="N121" s="16"/>
    </row>
    <row r="122" spans="3:14" x14ac:dyDescent="0.35">
      <c r="D122" t="s">
        <v>176</v>
      </c>
      <c r="J122" s="33">
        <f>IF(J120&gt;0,J120*Assumption!$E$132,0)</f>
        <v>2456248.7364568538</v>
      </c>
      <c r="K122" s="33">
        <f>IF(K120&gt;0,K120*Assumption!$E$132,0)</f>
        <v>3715391.9186457377</v>
      </c>
      <c r="L122" s="33">
        <f>IF(L120&gt;0,L120*Assumption!$E$132,0)</f>
        <v>8276572.7114914646</v>
      </c>
      <c r="M122" s="33">
        <f>IF(M120&gt;0,M120*Assumption!$E$132,0)</f>
        <v>11944617.71953457</v>
      </c>
      <c r="N122" s="33">
        <f>IF(N120&gt;0,N120*Assumption!$E$132,0)</f>
        <v>12815447.87523273</v>
      </c>
    </row>
    <row r="124" spans="3:14" x14ac:dyDescent="0.35">
      <c r="C124" s="25" t="s">
        <v>249</v>
      </c>
      <c r="D124" s="26"/>
      <c r="E124" s="26"/>
      <c r="F124" s="26"/>
      <c r="G124" s="26"/>
      <c r="H124" s="26"/>
      <c r="I124" s="26"/>
      <c r="J124" s="26"/>
      <c r="K124" s="26"/>
      <c r="L124" s="26"/>
      <c r="M124" s="26"/>
      <c r="N124" s="26"/>
    </row>
    <row r="125" spans="3:14" x14ac:dyDescent="0.35">
      <c r="J125" s="16"/>
      <c r="K125" s="16"/>
      <c r="L125" s="16"/>
      <c r="M125" s="16"/>
      <c r="N125" s="16"/>
    </row>
    <row r="126" spans="3:14" x14ac:dyDescent="0.35">
      <c r="D126" t="s">
        <v>246</v>
      </c>
      <c r="J126" s="36">
        <f>-'Income Statement'!I20</f>
        <v>5761476.9151344001</v>
      </c>
      <c r="K126" s="36">
        <f>-'Income Statement'!J20</f>
        <v>5466970.3804019326</v>
      </c>
      <c r="L126" s="36">
        <f>-'Income Statement'!K20</f>
        <v>5187517.988952117</v>
      </c>
      <c r="M126" s="36">
        <f>-'Income Statement'!L20</f>
        <v>4922350.225669845</v>
      </c>
      <c r="N126" s="36">
        <f>-'Income Statement'!M20</f>
        <v>27884996.479757562</v>
      </c>
    </row>
    <row r="127" spans="3:14" x14ac:dyDescent="0.35">
      <c r="D127" t="s">
        <v>65</v>
      </c>
      <c r="J127" s="87">
        <f>Assumption!$E$15</f>
        <v>0.32500000000000001</v>
      </c>
      <c r="K127" s="87">
        <f>Assumption!$E$15</f>
        <v>0.32500000000000001</v>
      </c>
      <c r="L127" s="87">
        <f>Assumption!$E$15</f>
        <v>0.32500000000000001</v>
      </c>
      <c r="M127" s="87">
        <f>Assumption!$E$15</f>
        <v>0.32500000000000001</v>
      </c>
      <c r="N127" s="87">
        <f>Assumption!$E$15</f>
        <v>0.32500000000000001</v>
      </c>
    </row>
    <row r="128" spans="3:14" x14ac:dyDescent="0.35">
      <c r="D128" t="s">
        <v>247</v>
      </c>
      <c r="J128" s="87">
        <f>1-J127</f>
        <v>0.67500000000000004</v>
      </c>
      <c r="K128" s="87">
        <f t="shared" ref="K128:N128" si="16">1-K127</f>
        <v>0.67500000000000004</v>
      </c>
      <c r="L128" s="87">
        <f t="shared" si="16"/>
        <v>0.67500000000000004</v>
      </c>
      <c r="M128" s="87">
        <f t="shared" si="16"/>
        <v>0.67500000000000004</v>
      </c>
      <c r="N128" s="87">
        <f t="shared" si="16"/>
        <v>0.67500000000000004</v>
      </c>
    </row>
    <row r="129" spans="3:14" x14ac:dyDescent="0.35">
      <c r="D129" s="1" t="s">
        <v>248</v>
      </c>
      <c r="J129" s="33">
        <f>J126*J128</f>
        <v>3888996.9177157204</v>
      </c>
      <c r="K129" s="33">
        <f t="shared" ref="K129:N129" si="17">K126*K128</f>
        <v>3690205.0067713046</v>
      </c>
      <c r="L129" s="33">
        <f t="shared" si="17"/>
        <v>3501574.6425426793</v>
      </c>
      <c r="M129" s="33">
        <f t="shared" si="17"/>
        <v>3322586.4023271454</v>
      </c>
      <c r="N129" s="33">
        <f t="shared" si="17"/>
        <v>18822372.623836357</v>
      </c>
    </row>
    <row r="132" spans="3:14" x14ac:dyDescent="0.35">
      <c r="C132" s="25" t="s">
        <v>250</v>
      </c>
      <c r="D132" s="26"/>
      <c r="E132" s="26"/>
      <c r="F132" s="26"/>
      <c r="G132" s="26"/>
      <c r="H132" s="26"/>
      <c r="I132" s="26"/>
      <c r="J132" s="26"/>
      <c r="K132" s="26"/>
      <c r="L132" s="26"/>
      <c r="M132" s="26"/>
      <c r="N132" s="26"/>
    </row>
    <row r="134" spans="3:14" x14ac:dyDescent="0.35">
      <c r="D134" t="s">
        <v>251</v>
      </c>
      <c r="F134" s="88">
        <f>((F137/F142)*F136)+((F140/F142)*F139*(1-F143))</f>
        <v>0.18365296352722182</v>
      </c>
      <c r="G134" s="16"/>
      <c r="H134" t="s">
        <v>252</v>
      </c>
    </row>
    <row r="135" spans="3:14" x14ac:dyDescent="0.35">
      <c r="F135" s="16"/>
      <c r="G135" s="16"/>
    </row>
    <row r="136" spans="3:14" x14ac:dyDescent="0.35">
      <c r="D136" t="s">
        <v>149</v>
      </c>
      <c r="F136" s="89">
        <f>G148</f>
        <v>0.2139060193246026</v>
      </c>
      <c r="G136" s="16"/>
    </row>
    <row r="137" spans="3:14" x14ac:dyDescent="0.35">
      <c r="D137" t="s">
        <v>253</v>
      </c>
      <c r="F137" s="45">
        <f>J90</f>
        <v>70415318.399999991</v>
      </c>
      <c r="G137" s="16">
        <f>F137/F142</f>
        <v>0.70000000000000007</v>
      </c>
    </row>
    <row r="138" spans="3:14" x14ac:dyDescent="0.35">
      <c r="F138" s="16"/>
      <c r="G138" s="16"/>
    </row>
    <row r="139" spans="3:14" x14ac:dyDescent="0.35">
      <c r="D139" t="s">
        <v>254</v>
      </c>
      <c r="F139" s="24">
        <f>Assumption!E136</f>
        <v>0.16750000000000001</v>
      </c>
      <c r="G139" s="16"/>
    </row>
    <row r="140" spans="3:14" x14ac:dyDescent="0.35">
      <c r="D140" t="s">
        <v>255</v>
      </c>
      <c r="F140" s="45">
        <f>J91</f>
        <v>30177993.599999998</v>
      </c>
      <c r="G140" s="16">
        <f>F140/F142</f>
        <v>0.30000000000000004</v>
      </c>
    </row>
    <row r="141" spans="3:14" x14ac:dyDescent="0.35">
      <c r="F141" s="16"/>
      <c r="G141" s="16"/>
    </row>
    <row r="142" spans="3:14" x14ac:dyDescent="0.35">
      <c r="D142" t="s">
        <v>256</v>
      </c>
      <c r="F142" s="45">
        <f>F137+F140</f>
        <v>100593311.99999999</v>
      </c>
      <c r="G142" s="16">
        <f>SUM(G137:G141)</f>
        <v>1</v>
      </c>
    </row>
    <row r="143" spans="3:14" x14ac:dyDescent="0.35">
      <c r="D143" t="s">
        <v>65</v>
      </c>
      <c r="F143" s="90">
        <f>Assumption!E15</f>
        <v>0.32500000000000001</v>
      </c>
      <c r="G143" s="16"/>
    </row>
    <row r="144" spans="3:14" x14ac:dyDescent="0.35">
      <c r="F144" s="16"/>
      <c r="G144" s="16"/>
    </row>
    <row r="145" spans="3:14" x14ac:dyDescent="0.35">
      <c r="C145" s="25" t="s">
        <v>149</v>
      </c>
      <c r="D145" s="26"/>
      <c r="E145" s="26"/>
      <c r="F145" s="26"/>
      <c r="G145" s="26"/>
      <c r="H145" s="26"/>
      <c r="I145" s="26"/>
      <c r="J145" s="26"/>
      <c r="K145" s="26"/>
      <c r="L145" s="26"/>
      <c r="M145" s="26"/>
      <c r="N145" s="26"/>
    </row>
    <row r="147" spans="3:14" x14ac:dyDescent="0.35">
      <c r="D147" t="s">
        <v>257</v>
      </c>
      <c r="E147" s="16"/>
      <c r="F147" s="16" t="s">
        <v>258</v>
      </c>
      <c r="G147" s="16" t="s">
        <v>259</v>
      </c>
      <c r="H147" s="16"/>
      <c r="I147" s="16"/>
      <c r="J147" s="16"/>
      <c r="K147" s="16"/>
      <c r="L147" s="16"/>
      <c r="M147" s="16"/>
      <c r="N147" s="16"/>
    </row>
    <row r="148" spans="3:14" x14ac:dyDescent="0.35">
      <c r="E148" s="16"/>
      <c r="F148" s="16"/>
      <c r="G148" s="90">
        <f>K148+(K151*(K153-K148))</f>
        <v>0.2139060193246026</v>
      </c>
      <c r="H148" s="16"/>
      <c r="I148" s="16"/>
      <c r="J148" s="16" t="s">
        <v>260</v>
      </c>
      <c r="K148" s="77">
        <v>0.20646</v>
      </c>
      <c r="L148" s="16"/>
      <c r="M148" s="16"/>
      <c r="N148" s="16"/>
    </row>
    <row r="149" spans="3:14" x14ac:dyDescent="0.35">
      <c r="E149" s="16"/>
      <c r="F149" s="16"/>
      <c r="G149" s="16"/>
      <c r="H149" s="16"/>
      <c r="I149" s="16"/>
      <c r="J149" s="16"/>
      <c r="K149" s="16"/>
      <c r="L149" s="16"/>
      <c r="M149" s="16"/>
      <c r="N149" s="16"/>
    </row>
    <row r="150" spans="3:14" x14ac:dyDescent="0.35">
      <c r="E150" s="16"/>
      <c r="F150" s="16"/>
      <c r="G150" s="16"/>
      <c r="H150" s="16"/>
      <c r="I150" s="16"/>
      <c r="J150" s="16"/>
      <c r="K150" s="16"/>
      <c r="L150" s="16"/>
      <c r="M150" s="16"/>
      <c r="N150" s="16"/>
    </row>
    <row r="151" spans="3:14" x14ac:dyDescent="0.35">
      <c r="E151" s="16"/>
      <c r="F151" s="16"/>
      <c r="G151" s="16"/>
      <c r="H151" s="16"/>
      <c r="I151" s="16"/>
      <c r="J151" s="16" t="s">
        <v>261</v>
      </c>
      <c r="K151" s="71">
        <f>L151*(1+60%)</f>
        <v>-0.31536000000000003</v>
      </c>
      <c r="L151" s="16">
        <v>-0.1971</v>
      </c>
      <c r="M151" s="16"/>
      <c r="N151" s="16"/>
    </row>
    <row r="152" spans="3:14" x14ac:dyDescent="0.35">
      <c r="E152" s="16"/>
      <c r="F152" s="16"/>
      <c r="G152" s="16"/>
      <c r="H152" s="16"/>
      <c r="I152" s="16"/>
      <c r="J152" s="16"/>
      <c r="K152" s="16"/>
      <c r="L152" s="16"/>
      <c r="M152" s="16"/>
      <c r="N152" s="16"/>
    </row>
    <row r="153" spans="3:14" x14ac:dyDescent="0.35">
      <c r="E153" s="16"/>
      <c r="F153" s="16"/>
      <c r="G153" s="16"/>
      <c r="H153" s="16"/>
      <c r="I153" s="16"/>
      <c r="J153" s="16" t="s">
        <v>262</v>
      </c>
      <c r="K153" s="90">
        <f>_xlfn.RRI(L154-L155,M155,M154)</f>
        <v>0.18284882761097609</v>
      </c>
      <c r="L153" s="16" t="s">
        <v>263</v>
      </c>
      <c r="M153" s="16"/>
      <c r="N153" s="16"/>
    </row>
    <row r="154" spans="3:14" x14ac:dyDescent="0.35">
      <c r="E154" s="16"/>
      <c r="F154" s="16"/>
      <c r="G154" s="16"/>
      <c r="H154" s="16"/>
      <c r="I154" s="16"/>
      <c r="J154" s="16"/>
      <c r="K154" s="16"/>
      <c r="L154" s="16">
        <v>2025</v>
      </c>
      <c r="M154" s="33">
        <v>97746</v>
      </c>
      <c r="N154" s="16"/>
    </row>
    <row r="155" spans="3:14" x14ac:dyDescent="0.35">
      <c r="E155" s="16"/>
      <c r="F155" s="16"/>
      <c r="G155" s="16"/>
      <c r="H155" s="16"/>
      <c r="I155" s="16"/>
      <c r="J155" s="16"/>
      <c r="K155" s="16"/>
      <c r="L155" s="16">
        <v>1984</v>
      </c>
      <c r="M155" s="16">
        <v>100</v>
      </c>
      <c r="N155" s="16"/>
    </row>
    <row r="156" spans="3:14" x14ac:dyDescent="0.35">
      <c r="E156" s="16"/>
      <c r="F156" s="16"/>
      <c r="G156" s="16"/>
      <c r="H156" s="16"/>
      <c r="I156" s="16"/>
      <c r="J156" s="16"/>
      <c r="K156" s="16"/>
      <c r="L156" s="16"/>
      <c r="M156" s="16"/>
      <c r="N156" s="16"/>
    </row>
    <row r="157" spans="3:14" x14ac:dyDescent="0.35">
      <c r="E157" s="16"/>
      <c r="F157" s="16"/>
      <c r="G157" s="16"/>
      <c r="H157" s="16"/>
      <c r="I157" s="16"/>
      <c r="J157" s="16"/>
      <c r="K157" s="16"/>
      <c r="L157" s="16"/>
      <c r="M157" s="16"/>
      <c r="N157" s="16"/>
    </row>
    <row r="158" spans="3:14" x14ac:dyDescent="0.35">
      <c r="E158" s="16"/>
      <c r="F158" s="16"/>
      <c r="G158" s="16"/>
      <c r="H158" s="16"/>
      <c r="I158" s="16"/>
      <c r="J158" s="16"/>
      <c r="K158" s="16"/>
      <c r="L158" s="16"/>
      <c r="M158" s="16"/>
      <c r="N158" s="16"/>
    </row>
    <row r="159" spans="3:14" x14ac:dyDescent="0.35">
      <c r="E159" s="16"/>
      <c r="F159" s="16"/>
      <c r="G159" s="16"/>
      <c r="H159" s="16"/>
      <c r="I159" s="16"/>
      <c r="J159" s="16"/>
      <c r="K159" s="16"/>
      <c r="L159" s="16"/>
      <c r="M159" s="16"/>
      <c r="N159" s="16"/>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Drop Down 1">
              <controlPr defaultSize="0" autoLine="0" autoPict="0">
                <anchor moveWithCells="1">
                  <from>
                    <xdr:col>2</xdr:col>
                    <xdr:colOff>19050</xdr:colOff>
                    <xdr:row>0</xdr:row>
                    <xdr:rowOff>139700</xdr:rowOff>
                  </from>
                  <to>
                    <xdr:col>2</xdr:col>
                    <xdr:colOff>1219200</xdr:colOff>
                    <xdr:row>1</xdr:row>
                    <xdr:rowOff>165100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4AFF7-2AA9-4E17-8A6F-C0F8BDCBF86E}">
  <dimension ref="B1:N32"/>
  <sheetViews>
    <sheetView showGridLines="0" topLeftCell="C1" workbookViewId="0">
      <selection activeCell="O8" sqref="O8"/>
    </sheetView>
  </sheetViews>
  <sheetFormatPr defaultRowHeight="14.5" x14ac:dyDescent="0.35"/>
  <cols>
    <col min="3" max="3" width="32.54296875" customWidth="1"/>
    <col min="9" max="9" width="14.08984375" customWidth="1"/>
    <col min="10" max="13" width="14.81640625" bestFit="1" customWidth="1"/>
    <col min="14" max="14" width="10.08984375" bestFit="1" customWidth="1"/>
  </cols>
  <sheetData>
    <row r="1" spans="2:14" x14ac:dyDescent="0.35">
      <c r="B1" t="s">
        <v>43</v>
      </c>
      <c r="D1" t="s">
        <v>6</v>
      </c>
      <c r="M1" t="s">
        <v>44</v>
      </c>
      <c r="N1" s="99">
        <f ca="1">TODAY()</f>
        <v>45735</v>
      </c>
    </row>
    <row r="3" spans="2:14" ht="28.5" x14ac:dyDescent="0.65">
      <c r="C3" s="15" t="s">
        <v>7</v>
      </c>
      <c r="D3" s="15"/>
      <c r="E3" s="15"/>
      <c r="F3" s="15"/>
      <c r="G3" s="15"/>
      <c r="H3" s="15"/>
      <c r="I3" s="15"/>
      <c r="J3" s="15"/>
      <c r="K3" s="15"/>
      <c r="L3" s="15"/>
      <c r="M3" s="15"/>
    </row>
    <row r="5" spans="2:14" ht="15" thickBot="1" x14ac:dyDescent="0.4">
      <c r="H5" s="47">
        <v>2024</v>
      </c>
      <c r="I5" s="47">
        <v>2025</v>
      </c>
      <c r="J5" s="47">
        <v>2026</v>
      </c>
      <c r="K5" s="47">
        <v>2027</v>
      </c>
      <c r="L5" s="47">
        <v>2028</v>
      </c>
      <c r="M5" s="47">
        <v>2029</v>
      </c>
    </row>
    <row r="6" spans="2:14" ht="15" thickTop="1" x14ac:dyDescent="0.35">
      <c r="H6" s="35"/>
      <c r="I6" s="35"/>
      <c r="J6" s="35"/>
      <c r="K6" s="35"/>
      <c r="L6" s="35"/>
      <c r="M6" s="35"/>
    </row>
    <row r="7" spans="2:14" x14ac:dyDescent="0.35">
      <c r="C7" s="1" t="s">
        <v>8</v>
      </c>
      <c r="H7" s="35"/>
      <c r="I7" s="55">
        <f>Workings!J12</f>
        <v>148124160</v>
      </c>
      <c r="J7" s="55">
        <f>Workings!K12</f>
        <v>159010560</v>
      </c>
      <c r="K7" s="55">
        <f>Workings!L12</f>
        <v>207083520</v>
      </c>
      <c r="L7" s="55">
        <f>Workings!M12</f>
        <v>250560000</v>
      </c>
      <c r="M7" s="55">
        <f>Workings!N12</f>
        <v>297043200</v>
      </c>
    </row>
    <row r="8" spans="2:14" x14ac:dyDescent="0.35">
      <c r="C8" s="1" t="s">
        <v>9</v>
      </c>
      <c r="H8" s="35"/>
      <c r="I8" s="101">
        <f>-Workings!J24</f>
        <v>-53282764.800000004</v>
      </c>
      <c r="J8" s="101">
        <f>-Workings!K24</f>
        <v>-56330956.800000004</v>
      </c>
      <c r="K8" s="101">
        <f>-Workings!L24</f>
        <v>-69791385.599999994</v>
      </c>
      <c r="L8" s="101">
        <f>-Workings!M24</f>
        <v>-81964800</v>
      </c>
      <c r="M8" s="101">
        <f>-Workings!N24</f>
        <v>-94980096</v>
      </c>
    </row>
    <row r="9" spans="2:14" ht="15" thickBot="1" x14ac:dyDescent="0.4">
      <c r="C9" s="1"/>
      <c r="H9" s="35"/>
      <c r="I9" s="54"/>
      <c r="J9" s="54"/>
      <c r="K9" s="54"/>
      <c r="L9" s="54"/>
      <c r="M9" s="54"/>
    </row>
    <row r="10" spans="2:14" ht="15" thickTop="1" x14ac:dyDescent="0.35">
      <c r="C10" s="1" t="s">
        <v>10</v>
      </c>
      <c r="H10" s="35"/>
      <c r="I10" s="48">
        <f>SUM(I7:I9)</f>
        <v>94841395.199999988</v>
      </c>
      <c r="J10" s="48">
        <f t="shared" ref="J10:M10" si="0">SUM(J7:J9)</f>
        <v>102679603.19999999</v>
      </c>
      <c r="K10" s="48">
        <f t="shared" si="0"/>
        <v>137292134.40000001</v>
      </c>
      <c r="L10" s="48">
        <f t="shared" si="0"/>
        <v>168595200</v>
      </c>
      <c r="M10" s="48">
        <f t="shared" si="0"/>
        <v>202063104</v>
      </c>
    </row>
    <row r="11" spans="2:14" x14ac:dyDescent="0.35">
      <c r="C11" s="1"/>
      <c r="H11" s="35"/>
      <c r="I11" s="35"/>
      <c r="J11" s="35"/>
      <c r="K11" s="35"/>
      <c r="L11" s="35"/>
      <c r="M11" s="35"/>
    </row>
    <row r="12" spans="2:14" x14ac:dyDescent="0.35">
      <c r="C12" s="1" t="s">
        <v>139</v>
      </c>
      <c r="H12" s="35"/>
      <c r="I12" s="70">
        <f>-Workings!J47</f>
        <v>-62290483.200000003</v>
      </c>
      <c r="J12" s="70">
        <f>-Workings!K47</f>
        <v>-61096211.200000003</v>
      </c>
      <c r="K12" s="70">
        <f>-Workings!L47</f>
        <v>-62201670.399999999</v>
      </c>
      <c r="L12" s="70">
        <f>-Workings!M47</f>
        <v>-64799200</v>
      </c>
      <c r="M12" s="70">
        <f>-Workings!N47</f>
        <v>-65728864</v>
      </c>
    </row>
    <row r="13" spans="2:14" ht="15" thickBot="1" x14ac:dyDescent="0.4">
      <c r="H13" s="35"/>
      <c r="I13" s="54"/>
      <c r="J13" s="54"/>
      <c r="K13" s="54"/>
      <c r="L13" s="54"/>
      <c r="M13" s="54"/>
    </row>
    <row r="14" spans="2:14" ht="15" thickTop="1" x14ac:dyDescent="0.35">
      <c r="C14" s="1" t="s">
        <v>169</v>
      </c>
      <c r="H14" s="35"/>
      <c r="I14" s="48">
        <f>I10+I12</f>
        <v>32550911.999999985</v>
      </c>
      <c r="J14" s="48">
        <f t="shared" ref="J14:M14" si="1">J10+J12</f>
        <v>41583391.999999985</v>
      </c>
      <c r="K14" s="48">
        <f t="shared" si="1"/>
        <v>75090464</v>
      </c>
      <c r="L14" s="48">
        <f t="shared" si="1"/>
        <v>103796000</v>
      </c>
      <c r="M14" s="48">
        <f t="shared" si="1"/>
        <v>136334240</v>
      </c>
    </row>
    <row r="15" spans="2:14" x14ac:dyDescent="0.35">
      <c r="H15" s="35"/>
      <c r="I15" s="35"/>
      <c r="J15" s="35"/>
      <c r="K15" s="35"/>
      <c r="L15" s="35"/>
      <c r="M15" s="35"/>
    </row>
    <row r="16" spans="2:14" x14ac:dyDescent="0.35">
      <c r="C16" s="1" t="s">
        <v>170</v>
      </c>
      <c r="H16" s="35"/>
      <c r="I16" s="70">
        <f>-Workings!J66</f>
        <v>-8595000</v>
      </c>
      <c r="J16" s="70">
        <f>-Workings!K66</f>
        <v>-8595000</v>
      </c>
      <c r="K16" s="70">
        <f>-Workings!L66</f>
        <v>-8595000</v>
      </c>
      <c r="L16" s="70">
        <f>-Workings!M66</f>
        <v>-10395000</v>
      </c>
      <c r="M16" s="70">
        <f>-Workings!N66</f>
        <v>-13520000</v>
      </c>
    </row>
    <row r="17" spans="3:13" ht="15" thickBot="1" x14ac:dyDescent="0.4">
      <c r="H17" s="35"/>
      <c r="I17" s="54"/>
      <c r="J17" s="54"/>
      <c r="K17" s="54"/>
      <c r="L17" s="54"/>
      <c r="M17" s="54"/>
    </row>
    <row r="18" spans="3:13" ht="15" thickTop="1" x14ac:dyDescent="0.35">
      <c r="C18" s="1" t="s">
        <v>171</v>
      </c>
      <c r="H18" s="35"/>
      <c r="I18" s="48">
        <f>SUM(I14:I17)</f>
        <v>23955911.999999985</v>
      </c>
      <c r="J18" s="48">
        <f t="shared" ref="J18:M18" si="2">SUM(J14:J17)</f>
        <v>32988391.999999985</v>
      </c>
      <c r="K18" s="48">
        <f t="shared" si="2"/>
        <v>66495464</v>
      </c>
      <c r="L18" s="48">
        <f t="shared" si="2"/>
        <v>93401000</v>
      </c>
      <c r="M18" s="48">
        <f t="shared" si="2"/>
        <v>122814240</v>
      </c>
    </row>
    <row r="19" spans="3:13" x14ac:dyDescent="0.35">
      <c r="H19" s="35"/>
      <c r="I19" s="35"/>
      <c r="J19" s="35"/>
      <c r="K19" s="35"/>
      <c r="L19" s="35"/>
      <c r="M19" s="35"/>
    </row>
    <row r="20" spans="3:13" x14ac:dyDescent="0.35">
      <c r="C20" s="1" t="s">
        <v>172</v>
      </c>
      <c r="H20" s="35"/>
      <c r="I20" s="70">
        <f>(Workings!J99+Workings!J100)</f>
        <v>-5761476.9151344001</v>
      </c>
      <c r="J20" s="70">
        <f>(Workings!K99+Workings!K100)</f>
        <v>-5466970.3804019326</v>
      </c>
      <c r="K20" s="70">
        <f>(Workings!L99+Workings!L100)</f>
        <v>-5187517.988952117</v>
      </c>
      <c r="L20" s="70">
        <f>(Workings!M99+Workings!M100)</f>
        <v>-4922350.225669845</v>
      </c>
      <c r="M20" s="70">
        <f>(Workings!N99+Workings!N100)</f>
        <v>-27884996.479757562</v>
      </c>
    </row>
    <row r="21" spans="3:13" ht="15" thickBot="1" x14ac:dyDescent="0.4">
      <c r="H21" s="35"/>
      <c r="I21" s="54"/>
      <c r="J21" s="54"/>
      <c r="K21" s="54"/>
      <c r="L21" s="54"/>
      <c r="M21" s="54"/>
    </row>
    <row r="22" spans="3:13" ht="15" thickTop="1" x14ac:dyDescent="0.35">
      <c r="C22" s="1" t="s">
        <v>173</v>
      </c>
      <c r="H22" s="35"/>
      <c r="I22" s="48">
        <f>SUM(I18:I21)</f>
        <v>18194435.084865585</v>
      </c>
      <c r="J22" s="48">
        <f t="shared" ref="J22:M22" si="3">SUM(J18:J21)</f>
        <v>27521421.619598053</v>
      </c>
      <c r="K22" s="48">
        <f t="shared" si="3"/>
        <v>61307946.011047885</v>
      </c>
      <c r="L22" s="48">
        <f t="shared" si="3"/>
        <v>88478649.774330154</v>
      </c>
      <c r="M22" s="48">
        <f t="shared" si="3"/>
        <v>94929243.520242438</v>
      </c>
    </row>
    <row r="23" spans="3:13" x14ac:dyDescent="0.35">
      <c r="H23" s="35"/>
      <c r="I23" s="35"/>
      <c r="J23" s="35"/>
      <c r="K23" s="35"/>
      <c r="L23" s="35"/>
      <c r="M23" s="35"/>
    </row>
    <row r="24" spans="3:13" x14ac:dyDescent="0.35">
      <c r="C24" s="1" t="s">
        <v>174</v>
      </c>
      <c r="H24" s="35"/>
      <c r="I24" s="70">
        <f>-Workings!J116</f>
        <v>-5913191.4025813155</v>
      </c>
      <c r="J24" s="70">
        <f>-Workings!K116</f>
        <v>-8944462.0263693668</v>
      </c>
      <c r="K24" s="70">
        <f>-Workings!L116</f>
        <v>-19925082.453590564</v>
      </c>
      <c r="L24" s="70">
        <f>-Workings!M116</f>
        <v>-28755561.1766573</v>
      </c>
      <c r="M24" s="70">
        <f>-Workings!N116</f>
        <v>-30852004.144078795</v>
      </c>
    </row>
    <row r="25" spans="3:13" ht="15" thickBot="1" x14ac:dyDescent="0.4">
      <c r="H25" s="35"/>
      <c r="I25" s="54"/>
      <c r="J25" s="54"/>
      <c r="K25" s="54"/>
      <c r="L25" s="54"/>
      <c r="M25" s="54"/>
    </row>
    <row r="26" spans="3:13" ht="15.5" thickTop="1" thickBot="1" x14ac:dyDescent="0.4">
      <c r="C26" s="1" t="s">
        <v>175</v>
      </c>
      <c r="H26" s="35"/>
      <c r="I26" s="39">
        <f>SUM(I22:I25)</f>
        <v>12281243.682284269</v>
      </c>
      <c r="J26" s="39">
        <f t="shared" ref="J26:M26" si="4">SUM(J22:J25)</f>
        <v>18576959.593228687</v>
      </c>
      <c r="K26" s="39">
        <f t="shared" si="4"/>
        <v>41382863.55745732</v>
      </c>
      <c r="L26" s="39">
        <f t="shared" si="4"/>
        <v>59723088.59767285</v>
      </c>
      <c r="M26" s="39">
        <f t="shared" si="4"/>
        <v>64077239.376163647</v>
      </c>
    </row>
    <row r="27" spans="3:13" ht="15" thickTop="1" x14ac:dyDescent="0.35">
      <c r="H27" s="35"/>
      <c r="I27" s="35"/>
      <c r="J27" s="35"/>
      <c r="K27" s="35"/>
      <c r="L27" s="35"/>
      <c r="M27" s="35"/>
    </row>
    <row r="28" spans="3:13" x14ac:dyDescent="0.35">
      <c r="C28" s="1" t="s">
        <v>176</v>
      </c>
      <c r="H28" s="35"/>
      <c r="I28" s="59">
        <f>-Workings!J122</f>
        <v>-2456248.7364568538</v>
      </c>
      <c r="J28" s="59">
        <f>-Workings!K122</f>
        <v>-3715391.9186457377</v>
      </c>
      <c r="K28" s="59">
        <f>-Workings!L122</f>
        <v>-8276572.7114914646</v>
      </c>
      <c r="L28" s="59">
        <f>-Workings!M122</f>
        <v>-11944617.71953457</v>
      </c>
      <c r="M28" s="59">
        <f>-Workings!N122</f>
        <v>-12815447.87523273</v>
      </c>
    </row>
    <row r="29" spans="3:13" x14ac:dyDescent="0.35">
      <c r="H29" s="35"/>
      <c r="I29" s="35"/>
      <c r="J29" s="35"/>
      <c r="K29" s="35"/>
      <c r="L29" s="35"/>
      <c r="M29" s="35"/>
    </row>
    <row r="30" spans="3:13" x14ac:dyDescent="0.35">
      <c r="C30" s="1" t="s">
        <v>177</v>
      </c>
      <c r="H30" s="35"/>
      <c r="I30" s="37">
        <f>SUM(I26:I29)</f>
        <v>9824994.9458274152</v>
      </c>
      <c r="J30" s="37">
        <f t="shared" ref="J30:M30" si="5">SUM(J26:J29)</f>
        <v>14861567.674582949</v>
      </c>
      <c r="K30" s="37">
        <f t="shared" si="5"/>
        <v>33106290.845965855</v>
      </c>
      <c r="L30" s="37">
        <f t="shared" si="5"/>
        <v>47778470.878138281</v>
      </c>
      <c r="M30" s="37">
        <f t="shared" si="5"/>
        <v>51261791.50093092</v>
      </c>
    </row>
    <row r="31" spans="3:13" x14ac:dyDescent="0.35">
      <c r="C31" s="1" t="s">
        <v>178</v>
      </c>
      <c r="H31" s="35"/>
      <c r="I31" s="49">
        <f>H31+I30</f>
        <v>9824994.9458274152</v>
      </c>
      <c r="J31" s="49">
        <f t="shared" ref="J31:M31" si="6">I31+J30</f>
        <v>24686562.620410364</v>
      </c>
      <c r="K31" s="49">
        <f t="shared" si="6"/>
        <v>57792853.466376215</v>
      </c>
      <c r="L31" s="49">
        <f t="shared" si="6"/>
        <v>105571324.34451449</v>
      </c>
      <c r="M31" s="49">
        <f t="shared" si="6"/>
        <v>156833115.84544539</v>
      </c>
    </row>
    <row r="32" spans="3:13" x14ac:dyDescent="0.35">
      <c r="H32" s="35"/>
      <c r="I32" s="35"/>
      <c r="J32" s="35"/>
      <c r="K32" s="35"/>
      <c r="L32" s="35"/>
      <c r="M32" s="35"/>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Drop Down 1">
              <controlPr defaultSize="0" autoLine="0" autoPict="0">
                <anchor moveWithCells="1">
                  <from>
                    <xdr:col>2</xdr:col>
                    <xdr:colOff>279400</xdr:colOff>
                    <xdr:row>0</xdr:row>
                    <xdr:rowOff>38100</xdr:rowOff>
                  </from>
                  <to>
                    <xdr:col>2</xdr:col>
                    <xdr:colOff>1479550</xdr:colOff>
                    <xdr:row>1</xdr:row>
                    <xdr:rowOff>63500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68EF0-9448-4EA7-A9A3-98FF5F94750F}">
  <dimension ref="B1:N45"/>
  <sheetViews>
    <sheetView showGridLines="0" topLeftCell="C1" workbookViewId="0">
      <selection activeCell="N2" sqref="N2"/>
    </sheetView>
  </sheetViews>
  <sheetFormatPr defaultRowHeight="14.5" x14ac:dyDescent="0.35"/>
  <cols>
    <col min="3" max="3" width="22.26953125" customWidth="1"/>
    <col min="5" max="5" width="22.1796875" customWidth="1"/>
    <col min="9" max="13" width="13.81640625" bestFit="1" customWidth="1"/>
    <col min="14" max="14" width="10.08984375" bestFit="1" customWidth="1"/>
  </cols>
  <sheetData>
    <row r="1" spans="2:14" x14ac:dyDescent="0.35">
      <c r="B1" t="s">
        <v>43</v>
      </c>
      <c r="D1" t="s">
        <v>6</v>
      </c>
      <c r="M1" t="s">
        <v>44</v>
      </c>
      <c r="N1" s="99">
        <f ca="1">TODAY()</f>
        <v>45735</v>
      </c>
    </row>
    <row r="3" spans="2:14" ht="28.5" x14ac:dyDescent="0.65">
      <c r="C3" s="15"/>
      <c r="D3" s="15"/>
      <c r="E3" s="15"/>
      <c r="F3" s="15"/>
      <c r="G3" s="15"/>
      <c r="H3" s="15"/>
      <c r="I3" s="15"/>
      <c r="J3" s="15"/>
      <c r="K3" s="15"/>
      <c r="L3" s="15"/>
      <c r="M3" s="15"/>
    </row>
    <row r="5" spans="2:14" ht="15" thickBot="1" x14ac:dyDescent="0.4">
      <c r="H5" s="47">
        <v>2024</v>
      </c>
      <c r="I5" s="47">
        <v>2025</v>
      </c>
      <c r="J5" s="47">
        <v>2026</v>
      </c>
      <c r="K5" s="47">
        <v>2027</v>
      </c>
      <c r="L5" s="47">
        <v>2028</v>
      </c>
      <c r="M5" s="47">
        <v>2029</v>
      </c>
    </row>
    <row r="6" spans="2:14" ht="15" thickTop="1" x14ac:dyDescent="0.35"/>
    <row r="7" spans="2:14" x14ac:dyDescent="0.35">
      <c r="C7" s="1" t="s">
        <v>183</v>
      </c>
    </row>
    <row r="8" spans="2:14" x14ac:dyDescent="0.35">
      <c r="D8" s="1" t="s">
        <v>184</v>
      </c>
    </row>
    <row r="9" spans="2:14" x14ac:dyDescent="0.35">
      <c r="D9" s="1" t="s">
        <v>185</v>
      </c>
    </row>
    <row r="10" spans="2:14" x14ac:dyDescent="0.35">
      <c r="E10" t="s">
        <v>132</v>
      </c>
      <c r="I10" s="33">
        <f>Workings!J77</f>
        <v>67500000</v>
      </c>
      <c r="J10" s="33">
        <f>Workings!K77</f>
        <v>67500000</v>
      </c>
      <c r="K10" s="33">
        <f>Workings!L77</f>
        <v>67500000</v>
      </c>
      <c r="L10" s="33">
        <f>Workings!M77</f>
        <v>76500000</v>
      </c>
      <c r="M10" s="33">
        <f>Workings!N77</f>
        <v>99500000</v>
      </c>
    </row>
    <row r="11" spans="2:14" ht="15" thickBot="1" x14ac:dyDescent="0.4">
      <c r="E11" t="s">
        <v>130</v>
      </c>
      <c r="I11" s="52">
        <f>Workings!J78</f>
        <v>-8595000</v>
      </c>
      <c r="J11" s="52">
        <f>Workings!K78</f>
        <v>-17190000</v>
      </c>
      <c r="K11" s="52">
        <f>Workings!L78</f>
        <v>-25785000</v>
      </c>
      <c r="L11" s="52">
        <f>Workings!M78</f>
        <v>-36180000</v>
      </c>
      <c r="M11" s="52">
        <f>Workings!N78</f>
        <v>-49700000</v>
      </c>
    </row>
    <row r="12" spans="2:14" ht="15.5" thickTop="1" thickBot="1" x14ac:dyDescent="0.4">
      <c r="E12" s="1" t="s">
        <v>186</v>
      </c>
      <c r="I12" s="29">
        <f>SUM(I10:I11)</f>
        <v>58905000</v>
      </c>
      <c r="J12" s="29">
        <f t="shared" ref="J12:M12" si="0">SUM(J10:J11)</f>
        <v>50310000</v>
      </c>
      <c r="K12" s="29">
        <f t="shared" si="0"/>
        <v>41715000</v>
      </c>
      <c r="L12" s="29">
        <f t="shared" si="0"/>
        <v>40320000</v>
      </c>
      <c r="M12" s="29">
        <f t="shared" si="0"/>
        <v>49800000</v>
      </c>
    </row>
    <row r="13" spans="2:14" ht="15" thickTop="1" x14ac:dyDescent="0.35"/>
    <row r="14" spans="2:14" x14ac:dyDescent="0.35">
      <c r="D14" s="1" t="s">
        <v>187</v>
      </c>
    </row>
    <row r="15" spans="2:14" x14ac:dyDescent="0.35">
      <c r="E15" t="s">
        <v>63</v>
      </c>
      <c r="I15" s="33">
        <f>Workings!J27</f>
        <v>13320691.200000001</v>
      </c>
      <c r="J15" s="33">
        <f>Workings!K27</f>
        <v>14082739.200000001</v>
      </c>
      <c r="K15" s="33">
        <f>Workings!L27</f>
        <v>17447846.399999999</v>
      </c>
      <c r="L15" s="33">
        <f>Workings!M27</f>
        <v>20491200</v>
      </c>
      <c r="M15" s="33">
        <f>Workings!N27</f>
        <v>23745024</v>
      </c>
    </row>
    <row r="16" spans="2:14" x14ac:dyDescent="0.35">
      <c r="E16" t="s">
        <v>188</v>
      </c>
      <c r="I16" s="33">
        <f>Workings!J106</f>
        <v>2468736</v>
      </c>
      <c r="J16" s="33">
        <f>Workings!K106</f>
        <v>2650176</v>
      </c>
      <c r="K16" s="33">
        <f>Workings!L106</f>
        <v>3451392</v>
      </c>
      <c r="L16" s="33">
        <f>Workings!M106</f>
        <v>4176000</v>
      </c>
      <c r="M16" s="33">
        <f>Workings!N106</f>
        <v>4950720</v>
      </c>
    </row>
    <row r="17" spans="3:13" ht="15" thickBot="1" x14ac:dyDescent="0.4">
      <c r="E17" t="s">
        <v>189</v>
      </c>
      <c r="I17" s="52">
        <f>Cashflow!I39</f>
        <v>44945033.804865569</v>
      </c>
      <c r="J17" s="52">
        <f>Cashflow!J39</f>
        <v>71811124.085425436</v>
      </c>
      <c r="K17" s="52">
        <f>Cashflow!K39</f>
        <v>125164312.47145821</v>
      </c>
      <c r="L17" s="52">
        <f>Cashflow!L39</f>
        <v>183318335.24070635</v>
      </c>
      <c r="M17" s="52">
        <f>Cashflow!M39</f>
        <v>224306134.26475692</v>
      </c>
    </row>
    <row r="18" spans="3:13" ht="15.5" thickTop="1" thickBot="1" x14ac:dyDescent="0.4">
      <c r="D18" s="1" t="s">
        <v>190</v>
      </c>
      <c r="I18" s="29">
        <f>SUM(I15:I17)</f>
        <v>60734461.004865572</v>
      </c>
      <c r="J18" s="29">
        <f t="shared" ref="J18:M18" si="1">SUM(J15:J17)</f>
        <v>88544039.285425439</v>
      </c>
      <c r="K18" s="29">
        <f t="shared" si="1"/>
        <v>146063550.8714582</v>
      </c>
      <c r="L18" s="29">
        <f t="shared" si="1"/>
        <v>207985535.24070635</v>
      </c>
      <c r="M18" s="29">
        <f t="shared" si="1"/>
        <v>253001878.26475692</v>
      </c>
    </row>
    <row r="19" spans="3:13" ht="15.5" thickTop="1" thickBot="1" x14ac:dyDescent="0.4"/>
    <row r="20" spans="3:13" ht="15.5" thickTop="1" thickBot="1" x14ac:dyDescent="0.4">
      <c r="D20" s="1" t="s">
        <v>191</v>
      </c>
      <c r="I20" s="50">
        <f>I12+I18</f>
        <v>119639461.00486557</v>
      </c>
      <c r="J20" s="50">
        <f t="shared" ref="J20:M20" si="2">J12+J18</f>
        <v>138854039.28542542</v>
      </c>
      <c r="K20" s="50">
        <f t="shared" si="2"/>
        <v>187778550.8714582</v>
      </c>
      <c r="L20" s="50">
        <f t="shared" si="2"/>
        <v>248305535.24070635</v>
      </c>
      <c r="M20" s="50">
        <f t="shared" si="2"/>
        <v>302801878.26475692</v>
      </c>
    </row>
    <row r="21" spans="3:13" ht="15" thickTop="1" x14ac:dyDescent="0.35"/>
    <row r="22" spans="3:13" x14ac:dyDescent="0.35">
      <c r="C22" s="1" t="s">
        <v>140</v>
      </c>
    </row>
    <row r="23" spans="3:13" x14ac:dyDescent="0.35">
      <c r="E23" t="s">
        <v>192</v>
      </c>
      <c r="I23" s="33">
        <f>Workings!$J90</f>
        <v>70415318.399999991</v>
      </c>
      <c r="J23" s="33">
        <f>Workings!$J90</f>
        <v>70415318.399999991</v>
      </c>
      <c r="K23" s="33">
        <f>Workings!$J90</f>
        <v>70415318.399999991</v>
      </c>
      <c r="L23" s="33">
        <f>Workings!$J90</f>
        <v>70415318.399999991</v>
      </c>
      <c r="M23" s="33">
        <f>Workings!$J90</f>
        <v>70415318.399999991</v>
      </c>
    </row>
    <row r="24" spans="3:13" ht="15" thickBot="1" x14ac:dyDescent="0.4">
      <c r="E24" t="s">
        <v>178</v>
      </c>
      <c r="I24" s="54">
        <f>'Income Statement'!I31</f>
        <v>9824994.9458274152</v>
      </c>
      <c r="J24" s="54">
        <f>'Income Statement'!J31</f>
        <v>24686562.620410364</v>
      </c>
      <c r="K24" s="54">
        <f>'Income Statement'!K31</f>
        <v>57792853.466376215</v>
      </c>
      <c r="L24" s="54">
        <f>'Income Statement'!L31</f>
        <v>105571324.34451449</v>
      </c>
      <c r="M24" s="54">
        <f>'Income Statement'!M31</f>
        <v>156833115.84544539</v>
      </c>
    </row>
    <row r="25" spans="3:13" ht="15.5" thickTop="1" thickBot="1" x14ac:dyDescent="0.4">
      <c r="D25" s="1" t="s">
        <v>20</v>
      </c>
      <c r="I25" s="31">
        <f>SUM(I23:I24)</f>
        <v>80240313.345827401</v>
      </c>
      <c r="J25" s="31">
        <f t="shared" ref="J25:M25" si="3">SUM(J23:J24)</f>
        <v>95101881.020410359</v>
      </c>
      <c r="K25" s="31">
        <f t="shared" si="3"/>
        <v>128208171.86637621</v>
      </c>
      <c r="L25" s="31">
        <f t="shared" si="3"/>
        <v>175986642.74451447</v>
      </c>
      <c r="M25" s="31">
        <f t="shared" si="3"/>
        <v>227248434.24544537</v>
      </c>
    </row>
    <row r="26" spans="3:13" ht="15" thickTop="1" x14ac:dyDescent="0.35"/>
    <row r="27" spans="3:13" x14ac:dyDescent="0.35">
      <c r="C27" s="1" t="s">
        <v>193</v>
      </c>
    </row>
    <row r="28" spans="3:13" x14ac:dyDescent="0.35">
      <c r="D28" s="1" t="s">
        <v>194</v>
      </c>
    </row>
    <row r="29" spans="3:13" x14ac:dyDescent="0.35">
      <c r="E29" t="s">
        <v>195</v>
      </c>
      <c r="I29" s="33">
        <f>Workings!J101</f>
        <v>28635400.190145597</v>
      </c>
      <c r="J29" s="33">
        <f>Workings!K101</f>
        <v>27171658.75632602</v>
      </c>
      <c r="K29" s="33">
        <f>Workings!L101</f>
        <v>25782738.661508277</v>
      </c>
      <c r="L29" s="33">
        <f>Workings!M101</f>
        <v>24464815.300717287</v>
      </c>
      <c r="M29" s="33">
        <f>Workings!N101</f>
        <v>0</v>
      </c>
    </row>
    <row r="30" spans="3:13" ht="15" thickBot="1" x14ac:dyDescent="0.4">
      <c r="I30" s="53"/>
      <c r="J30" s="53"/>
      <c r="K30" s="53"/>
      <c r="L30" s="53"/>
      <c r="M30" s="53"/>
    </row>
    <row r="31" spans="3:13" ht="15.5" thickTop="1" thickBot="1" x14ac:dyDescent="0.4">
      <c r="D31" s="1" t="s">
        <v>196</v>
      </c>
      <c r="I31" s="29">
        <f>I29</f>
        <v>28635400.190145597</v>
      </c>
      <c r="J31" s="29">
        <f t="shared" ref="J31:M31" si="4">J29</f>
        <v>27171658.75632602</v>
      </c>
      <c r="K31" s="29">
        <f t="shared" si="4"/>
        <v>25782738.661508277</v>
      </c>
      <c r="L31" s="29">
        <f t="shared" si="4"/>
        <v>24464815.300717287</v>
      </c>
      <c r="M31" s="29">
        <f t="shared" si="4"/>
        <v>0</v>
      </c>
    </row>
    <row r="32" spans="3:13" ht="15" thickTop="1" x14ac:dyDescent="0.35"/>
    <row r="33" spans="3:13" x14ac:dyDescent="0.35">
      <c r="D33" s="1" t="s">
        <v>22</v>
      </c>
    </row>
    <row r="34" spans="3:13" x14ac:dyDescent="0.35">
      <c r="E34" t="s">
        <v>195</v>
      </c>
      <c r="I34" s="33">
        <f>Workings!J102</f>
        <v>1542593.4098544009</v>
      </c>
      <c r="J34" s="33">
        <f>Workings!K102</f>
        <v>3006334.843673978</v>
      </c>
      <c r="K34" s="33">
        <f>Workings!L102</f>
        <v>4395254.9384917207</v>
      </c>
      <c r="L34" s="33">
        <f>Workings!M102</f>
        <v>5713178.299282711</v>
      </c>
      <c r="M34" s="33">
        <f>Workings!N102</f>
        <v>30177993.599999998</v>
      </c>
    </row>
    <row r="35" spans="3:13" x14ac:dyDescent="0.35">
      <c r="E35" t="s">
        <v>197</v>
      </c>
      <c r="I35" s="33">
        <f>Workings!J110</f>
        <v>851713.92</v>
      </c>
      <c r="J35" s="33">
        <f>Workings!K110</f>
        <v>914310.72000000009</v>
      </c>
      <c r="K35" s="33">
        <f>Workings!L110</f>
        <v>1190730.24</v>
      </c>
      <c r="L35" s="33">
        <f>Workings!M110</f>
        <v>1440720</v>
      </c>
      <c r="M35" s="33">
        <f>Workings!N110</f>
        <v>1707998.4000000001</v>
      </c>
    </row>
    <row r="36" spans="3:13" x14ac:dyDescent="0.35">
      <c r="E36" t="s">
        <v>198</v>
      </c>
      <c r="I36" s="33">
        <f>Workings!J116</f>
        <v>5913191.4025813155</v>
      </c>
      <c r="J36" s="33">
        <f>Workings!K116</f>
        <v>8944462.0263693668</v>
      </c>
      <c r="K36" s="33">
        <f>Workings!L116</f>
        <v>19925082.453590564</v>
      </c>
      <c r="L36" s="33">
        <f>Workings!M116</f>
        <v>28755561.1766573</v>
      </c>
      <c r="M36" s="33">
        <f>Workings!N116</f>
        <v>30852004.144078795</v>
      </c>
    </row>
    <row r="37" spans="3:13" ht="15" thickBot="1" x14ac:dyDescent="0.4">
      <c r="E37" t="s">
        <v>202</v>
      </c>
      <c r="I37" s="52">
        <f>Workings!J122</f>
        <v>2456248.7364568538</v>
      </c>
      <c r="J37" s="52">
        <f>Workings!K122</f>
        <v>3715391.9186457377</v>
      </c>
      <c r="K37" s="52">
        <f>Workings!L122</f>
        <v>8276572.7114914646</v>
      </c>
      <c r="L37" s="52">
        <f>Workings!M122</f>
        <v>11944617.71953457</v>
      </c>
      <c r="M37" s="52">
        <f>Workings!N122</f>
        <v>12815447.87523273</v>
      </c>
    </row>
    <row r="38" spans="3:13" ht="15.5" thickTop="1" thickBot="1" x14ac:dyDescent="0.4">
      <c r="D38" s="1" t="s">
        <v>199</v>
      </c>
      <c r="I38" s="29">
        <f>SUM(I34:I37)</f>
        <v>10763747.468892571</v>
      </c>
      <c r="J38" s="29">
        <f t="shared" ref="J38:M38" si="5">SUM(J34:J37)</f>
        <v>16580499.508689083</v>
      </c>
      <c r="K38" s="29">
        <f t="shared" si="5"/>
        <v>33787640.343573749</v>
      </c>
      <c r="L38" s="29">
        <f t="shared" si="5"/>
        <v>47854077.19547458</v>
      </c>
      <c r="M38" s="29">
        <f t="shared" si="5"/>
        <v>75553444.019311517</v>
      </c>
    </row>
    <row r="39" spans="3:13" ht="15.5" thickTop="1" thickBot="1" x14ac:dyDescent="0.4"/>
    <row r="40" spans="3:13" ht="15.5" thickTop="1" thickBot="1" x14ac:dyDescent="0.4">
      <c r="D40" s="1" t="s">
        <v>200</v>
      </c>
      <c r="I40" s="29">
        <f>I31+I38</f>
        <v>39399147.659038171</v>
      </c>
      <c r="J40" s="29">
        <f t="shared" ref="J40:M40" si="6">J31+J38</f>
        <v>43752158.265015103</v>
      </c>
      <c r="K40" s="29">
        <f t="shared" si="6"/>
        <v>59570379.005082026</v>
      </c>
      <c r="L40" s="29">
        <f t="shared" si="6"/>
        <v>72318892.496191859</v>
      </c>
      <c r="M40" s="29">
        <f t="shared" si="6"/>
        <v>75553444.019311517</v>
      </c>
    </row>
    <row r="41" spans="3:13" ht="15" thickTop="1" x14ac:dyDescent="0.35"/>
    <row r="42" spans="3:13" x14ac:dyDescent="0.35">
      <c r="C42" s="1" t="s">
        <v>201</v>
      </c>
      <c r="I42" s="51">
        <f>I25+I40</f>
        <v>119639461.00486557</v>
      </c>
      <c r="J42" s="51">
        <f t="shared" ref="J42:M42" si="7">J25+J40</f>
        <v>138854039.28542545</v>
      </c>
      <c r="K42" s="51">
        <f t="shared" si="7"/>
        <v>187778550.87145823</v>
      </c>
      <c r="L42" s="51">
        <f t="shared" si="7"/>
        <v>248305535.24070632</v>
      </c>
      <c r="M42" s="51">
        <f t="shared" si="7"/>
        <v>302801878.26475692</v>
      </c>
    </row>
    <row r="44" spans="3:13" x14ac:dyDescent="0.35">
      <c r="I44" t="b">
        <f>I20=I42</f>
        <v>1</v>
      </c>
      <c r="J44" t="b">
        <f t="shared" ref="J44:M44" si="8">J20=J42</f>
        <v>1</v>
      </c>
      <c r="K44" t="b">
        <f t="shared" si="8"/>
        <v>1</v>
      </c>
      <c r="L44" t="b">
        <f t="shared" si="8"/>
        <v>1</v>
      </c>
      <c r="M44" t="b">
        <f t="shared" si="8"/>
        <v>1</v>
      </c>
    </row>
    <row r="45" spans="3:13" x14ac:dyDescent="0.35">
      <c r="I45" s="28">
        <f>I20-I42</f>
        <v>0</v>
      </c>
      <c r="J45" s="28">
        <f t="shared" ref="J45:M45" si="9">J20-J42</f>
        <v>0</v>
      </c>
      <c r="K45" s="28">
        <f t="shared" si="9"/>
        <v>0</v>
      </c>
      <c r="L45" s="28">
        <f t="shared" si="9"/>
        <v>0</v>
      </c>
      <c r="M45" s="28">
        <f t="shared" si="9"/>
        <v>0</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9217" r:id="rId3" name="Drop Down 1">
              <controlPr defaultSize="0" autoLine="0" autoPict="0">
                <anchor moveWithCells="1">
                  <from>
                    <xdr:col>2</xdr:col>
                    <xdr:colOff>0</xdr:colOff>
                    <xdr:row>0</xdr:row>
                    <xdr:rowOff>31750</xdr:rowOff>
                  </from>
                  <to>
                    <xdr:col>2</xdr:col>
                    <xdr:colOff>1200150</xdr:colOff>
                    <xdr:row>1</xdr:row>
                    <xdr:rowOff>57150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A2FDC-2CD5-427A-9F63-E532A082B5F9}">
  <dimension ref="B1:N39"/>
  <sheetViews>
    <sheetView showGridLines="0" workbookViewId="0">
      <selection activeCell="N2" sqref="N2"/>
    </sheetView>
  </sheetViews>
  <sheetFormatPr defaultRowHeight="14.5" x14ac:dyDescent="0.35"/>
  <cols>
    <col min="3" max="3" width="30.54296875" customWidth="1"/>
    <col min="9" max="9" width="11.6328125" customWidth="1"/>
    <col min="10" max="10" width="13.26953125" customWidth="1"/>
    <col min="11" max="11" width="13.36328125" customWidth="1"/>
    <col min="12" max="12" width="13.26953125" customWidth="1"/>
    <col min="13" max="13" width="12.453125" customWidth="1"/>
    <col min="14" max="14" width="10.08984375" bestFit="1" customWidth="1"/>
  </cols>
  <sheetData>
    <row r="1" spans="2:14" x14ac:dyDescent="0.35">
      <c r="B1" t="s">
        <v>43</v>
      </c>
      <c r="D1" t="s">
        <v>6</v>
      </c>
      <c r="M1" t="s">
        <v>44</v>
      </c>
      <c r="N1" s="99">
        <f ca="1">TODAY()</f>
        <v>45735</v>
      </c>
    </row>
    <row r="3" spans="2:14" ht="28.5" x14ac:dyDescent="0.65">
      <c r="C3" s="15" t="s">
        <v>24</v>
      </c>
      <c r="D3" s="15"/>
      <c r="E3" s="15"/>
      <c r="F3" s="15"/>
      <c r="G3" s="15"/>
      <c r="H3" s="15"/>
      <c r="I3" s="15"/>
      <c r="J3" s="15"/>
      <c r="K3" s="15"/>
      <c r="L3" s="15"/>
      <c r="M3" s="15"/>
    </row>
    <row r="5" spans="2:14" ht="15" thickBot="1" x14ac:dyDescent="0.4">
      <c r="H5" s="47">
        <v>2024</v>
      </c>
      <c r="I5" s="47">
        <v>2025</v>
      </c>
      <c r="J5" s="47">
        <v>2026</v>
      </c>
      <c r="K5" s="47">
        <v>2027</v>
      </c>
      <c r="L5" s="47">
        <v>2028</v>
      </c>
      <c r="M5" s="47">
        <v>2029</v>
      </c>
    </row>
    <row r="6" spans="2:14" ht="15" thickTop="1" x14ac:dyDescent="0.35">
      <c r="C6" s="1" t="s">
        <v>203</v>
      </c>
    </row>
    <row r="7" spans="2:14" x14ac:dyDescent="0.35">
      <c r="D7" s="1" t="s">
        <v>182</v>
      </c>
      <c r="I7" s="83">
        <f>'Income Statement'!I26</f>
        <v>12281243.682284269</v>
      </c>
      <c r="J7" s="83">
        <f>'Income Statement'!J26</f>
        <v>18576959.593228687</v>
      </c>
      <c r="K7" s="83">
        <f>'Income Statement'!K26</f>
        <v>41382863.55745732</v>
      </c>
      <c r="L7" s="83">
        <f>'Income Statement'!L26</f>
        <v>59723088.59767285</v>
      </c>
      <c r="M7" s="83">
        <f>'Income Statement'!M26</f>
        <v>64077239.376163647</v>
      </c>
    </row>
    <row r="8" spans="2:14" x14ac:dyDescent="0.35">
      <c r="D8" t="s">
        <v>204</v>
      </c>
      <c r="I8" s="16"/>
      <c r="J8" s="16"/>
      <c r="K8" s="16"/>
      <c r="L8" s="16"/>
      <c r="M8" s="16"/>
    </row>
    <row r="9" spans="2:14" x14ac:dyDescent="0.35">
      <c r="E9" t="s">
        <v>129</v>
      </c>
      <c r="I9" s="36">
        <f>-'Income Statement'!I16</f>
        <v>8595000</v>
      </c>
      <c r="J9" s="36">
        <f>-'Income Statement'!J16</f>
        <v>8595000</v>
      </c>
      <c r="K9" s="36">
        <f>-'Income Statement'!K16</f>
        <v>8595000</v>
      </c>
      <c r="L9" s="36">
        <f>-'Income Statement'!L16</f>
        <v>10395000</v>
      </c>
      <c r="M9" s="36">
        <f>-'Income Statement'!M16</f>
        <v>13520000</v>
      </c>
    </row>
    <row r="10" spans="2:14" x14ac:dyDescent="0.35">
      <c r="E10" t="s">
        <v>205</v>
      </c>
      <c r="I10" s="36">
        <f>-'Income Statement'!I20</f>
        <v>5761476.9151344001</v>
      </c>
      <c r="J10" s="36">
        <f>-'Income Statement'!J20</f>
        <v>5466970.3804019326</v>
      </c>
      <c r="K10" s="36">
        <f>-'Income Statement'!K20</f>
        <v>5187517.988952117</v>
      </c>
      <c r="L10" s="36">
        <f>-'Income Statement'!L20</f>
        <v>4922350.225669845</v>
      </c>
      <c r="M10" s="36">
        <f>-'Income Statement'!M20</f>
        <v>27884996.479757562</v>
      </c>
    </row>
    <row r="11" spans="2:14" ht="15" thickBot="1" x14ac:dyDescent="0.4">
      <c r="E11" t="s">
        <v>206</v>
      </c>
      <c r="I11" s="84">
        <f>-'Income Statement'!I24</f>
        <v>5913191.4025813155</v>
      </c>
      <c r="J11" s="84">
        <f>-'Income Statement'!J24</f>
        <v>8944462.0263693668</v>
      </c>
      <c r="K11" s="84">
        <f>-'Income Statement'!K24</f>
        <v>19925082.453590564</v>
      </c>
      <c r="L11" s="84">
        <f>-'Income Statement'!L24</f>
        <v>28755561.1766573</v>
      </c>
      <c r="M11" s="84">
        <f>-'Income Statement'!M24</f>
        <v>30852004.144078795</v>
      </c>
    </row>
    <row r="12" spans="2:14" x14ac:dyDescent="0.35">
      <c r="D12" s="1" t="s">
        <v>207</v>
      </c>
      <c r="I12" s="56">
        <f>SUM(I7:I11)</f>
        <v>32550911.999999985</v>
      </c>
      <c r="J12" s="56">
        <f t="shared" ref="J12:M12" si="0">SUM(J7:J11)</f>
        <v>41583391.999999985</v>
      </c>
      <c r="K12" s="56">
        <f t="shared" si="0"/>
        <v>75090464</v>
      </c>
      <c r="L12" s="56">
        <f t="shared" si="0"/>
        <v>103796000</v>
      </c>
      <c r="M12" s="56">
        <f t="shared" si="0"/>
        <v>136334240</v>
      </c>
    </row>
    <row r="13" spans="2:14" x14ac:dyDescent="0.35">
      <c r="D13" t="s">
        <v>208</v>
      </c>
    </row>
    <row r="14" spans="2:14" x14ac:dyDescent="0.35">
      <c r="E14" t="s">
        <v>63</v>
      </c>
      <c r="I14" s="33">
        <f>'Financial Position'!H15-'Financial Position'!I15</f>
        <v>-13320691.200000001</v>
      </c>
      <c r="J14" s="33">
        <f>'Financial Position'!I15-'Financial Position'!J15</f>
        <v>-762048</v>
      </c>
      <c r="K14" s="33">
        <f>'Financial Position'!J15-'Financial Position'!K15</f>
        <v>-3365107.1999999974</v>
      </c>
      <c r="L14" s="33">
        <f>'Financial Position'!K15-'Financial Position'!L15</f>
        <v>-3043353.6000000015</v>
      </c>
      <c r="M14" s="33">
        <f>'Financial Position'!L15-'Financial Position'!M15</f>
        <v>-3253824</v>
      </c>
    </row>
    <row r="15" spans="2:14" x14ac:dyDescent="0.35">
      <c r="E15" t="s">
        <v>188</v>
      </c>
      <c r="I15" s="33">
        <f>'Financial Position'!H16-'Financial Position'!I16</f>
        <v>-2468736</v>
      </c>
      <c r="J15" s="33">
        <f>'Financial Position'!I16-'Financial Position'!J16</f>
        <v>-181440</v>
      </c>
      <c r="K15" s="33">
        <f>'Financial Position'!J16-'Financial Position'!K16</f>
        <v>-801216</v>
      </c>
      <c r="L15" s="33">
        <f>'Financial Position'!K16-'Financial Position'!L16</f>
        <v>-724608</v>
      </c>
      <c r="M15" s="33">
        <f>'Financial Position'!L16-'Financial Position'!M16</f>
        <v>-774720</v>
      </c>
    </row>
    <row r="16" spans="2:14" ht="15" thickBot="1" x14ac:dyDescent="0.4">
      <c r="E16" t="s">
        <v>209</v>
      </c>
      <c r="I16" s="85">
        <f>'Financial Position'!I35-'Financial Position'!H35</f>
        <v>851713.92</v>
      </c>
      <c r="J16" s="85">
        <f>'Financial Position'!J35-'Financial Position'!I35</f>
        <v>62596.800000000047</v>
      </c>
      <c r="K16" s="85">
        <f>'Financial Position'!K35-'Financial Position'!J35</f>
        <v>276419.5199999999</v>
      </c>
      <c r="L16" s="85">
        <f>'Financial Position'!L35-'Financial Position'!K35</f>
        <v>249989.76000000001</v>
      </c>
      <c r="M16" s="85">
        <f>'Financial Position'!M35-'Financial Position'!L35</f>
        <v>267278.40000000014</v>
      </c>
    </row>
    <row r="17" spans="3:13" x14ac:dyDescent="0.35">
      <c r="D17" s="1" t="s">
        <v>210</v>
      </c>
      <c r="I17" s="56">
        <f>SUM(I12:I16)</f>
        <v>17613198.719999984</v>
      </c>
      <c r="J17" s="56">
        <f t="shared" ref="J17:M17" si="1">SUM(J12:J16)</f>
        <v>40702500.799999982</v>
      </c>
      <c r="K17" s="56">
        <f t="shared" si="1"/>
        <v>71200560.319999993</v>
      </c>
      <c r="L17" s="56">
        <f t="shared" si="1"/>
        <v>100278028.16000001</v>
      </c>
      <c r="M17" s="56">
        <f t="shared" si="1"/>
        <v>132572974.40000001</v>
      </c>
    </row>
    <row r="18" spans="3:13" x14ac:dyDescent="0.35">
      <c r="E18" t="s">
        <v>206</v>
      </c>
      <c r="I18" s="33">
        <f>-H11</f>
        <v>0</v>
      </c>
      <c r="J18" s="33">
        <f t="shared" ref="J18:M18" si="2">-I11</f>
        <v>-5913191.4025813155</v>
      </c>
      <c r="K18" s="33">
        <f t="shared" si="2"/>
        <v>-8944462.0263693668</v>
      </c>
      <c r="L18" s="33">
        <f t="shared" si="2"/>
        <v>-19925082.453590564</v>
      </c>
      <c r="M18" s="33">
        <f t="shared" si="2"/>
        <v>-28755561.1766573</v>
      </c>
    </row>
    <row r="19" spans="3:13" ht="15" thickBot="1" x14ac:dyDescent="0.4">
      <c r="I19" s="79"/>
      <c r="J19" s="79"/>
      <c r="K19" s="79"/>
      <c r="L19" s="79"/>
      <c r="M19" s="79"/>
    </row>
    <row r="20" spans="3:13" ht="15" thickBot="1" x14ac:dyDescent="0.4">
      <c r="C20" s="1" t="s">
        <v>211</v>
      </c>
      <c r="I20" s="57">
        <f>SUM(I17:I19)</f>
        <v>17613198.719999984</v>
      </c>
      <c r="J20" s="57">
        <f t="shared" ref="J20:M20" si="3">SUM(J17:J19)</f>
        <v>34789309.397418663</v>
      </c>
      <c r="K20" s="57">
        <f t="shared" si="3"/>
        <v>62256098.29363063</v>
      </c>
      <c r="L20" s="57">
        <f t="shared" si="3"/>
        <v>80352945.706409454</v>
      </c>
      <c r="M20" s="57">
        <f t="shared" si="3"/>
        <v>103817413.2233427</v>
      </c>
    </row>
    <row r="22" spans="3:13" x14ac:dyDescent="0.35">
      <c r="C22" s="1" t="s">
        <v>212</v>
      </c>
    </row>
    <row r="23" spans="3:13" x14ac:dyDescent="0.35">
      <c r="E23" t="s">
        <v>131</v>
      </c>
      <c r="I23" s="33">
        <f>-Workings!J58</f>
        <v>-67500000</v>
      </c>
      <c r="J23" s="33">
        <f>-Workings!K58</f>
        <v>0</v>
      </c>
      <c r="K23" s="33">
        <f>-Workings!L58</f>
        <v>0</v>
      </c>
      <c r="L23" s="33">
        <f>-Workings!M58</f>
        <v>-9000000</v>
      </c>
      <c r="M23" s="33">
        <f>-Workings!N58</f>
        <v>-23000000</v>
      </c>
    </row>
    <row r="24" spans="3:13" ht="15" thickBot="1" x14ac:dyDescent="0.4">
      <c r="I24" s="79"/>
      <c r="J24" s="79"/>
      <c r="K24" s="79"/>
      <c r="L24" s="79"/>
      <c r="M24" s="79"/>
    </row>
    <row r="25" spans="3:13" ht="15" thickBot="1" x14ac:dyDescent="0.4">
      <c r="C25" s="1" t="s">
        <v>213</v>
      </c>
      <c r="I25" s="58">
        <f>SUM(I23:I24)</f>
        <v>-67500000</v>
      </c>
      <c r="J25" s="58">
        <f t="shared" ref="J25:M25" si="4">SUM(J23:J24)</f>
        <v>0</v>
      </c>
      <c r="K25" s="58">
        <f t="shared" si="4"/>
        <v>0</v>
      </c>
      <c r="L25" s="58">
        <f t="shared" si="4"/>
        <v>-9000000</v>
      </c>
      <c r="M25" s="58">
        <f t="shared" si="4"/>
        <v>-23000000</v>
      </c>
    </row>
    <row r="27" spans="3:13" x14ac:dyDescent="0.35">
      <c r="C27" s="1" t="s">
        <v>214</v>
      </c>
    </row>
    <row r="29" spans="3:13" x14ac:dyDescent="0.35">
      <c r="E29" t="s">
        <v>215</v>
      </c>
      <c r="I29" s="33">
        <f>Workings!J90</f>
        <v>70415318.399999991</v>
      </c>
      <c r="J29" s="16"/>
      <c r="K29" s="16"/>
      <c r="L29" s="16"/>
      <c r="M29" s="16"/>
    </row>
    <row r="30" spans="3:13" x14ac:dyDescent="0.35">
      <c r="E30" t="s">
        <v>216</v>
      </c>
      <c r="I30" s="33">
        <f>Workings!J91</f>
        <v>30177993.599999998</v>
      </c>
      <c r="J30" s="16"/>
      <c r="K30" s="16"/>
      <c r="L30" s="16"/>
      <c r="M30" s="16"/>
    </row>
    <row r="31" spans="3:13" x14ac:dyDescent="0.35">
      <c r="E31" t="s">
        <v>176</v>
      </c>
      <c r="I31" s="70">
        <f>'Income Statement'!H28</f>
        <v>0</v>
      </c>
      <c r="J31" s="70">
        <f>'Income Statement'!I28</f>
        <v>-2456248.7364568538</v>
      </c>
      <c r="K31" s="70">
        <f>'Income Statement'!J28</f>
        <v>-3715391.9186457377</v>
      </c>
      <c r="L31" s="70">
        <f>'Income Statement'!K28</f>
        <v>-8276572.7114914646</v>
      </c>
      <c r="M31" s="70">
        <f>'Income Statement'!L28</f>
        <v>-11944617.71953457</v>
      </c>
    </row>
    <row r="32" spans="3:13" x14ac:dyDescent="0.35">
      <c r="E32" t="s">
        <v>205</v>
      </c>
      <c r="I32" s="33">
        <f>Workings!J99</f>
        <v>-5761476.9151344001</v>
      </c>
      <c r="J32" s="33">
        <f>Workings!K99</f>
        <v>-5466970.3804019326</v>
      </c>
      <c r="K32" s="33">
        <f>Workings!L99</f>
        <v>-5187517.988952117</v>
      </c>
      <c r="L32" s="33">
        <f>Workings!M99</f>
        <v>-4922350.225669845</v>
      </c>
      <c r="M32" s="33">
        <f>Workings!N99</f>
        <v>-4670736.9103593919</v>
      </c>
    </row>
    <row r="33" spans="3:13" x14ac:dyDescent="0.35">
      <c r="E33" t="s">
        <v>162</v>
      </c>
      <c r="I33" s="33">
        <f>Workings!J100</f>
        <v>0</v>
      </c>
      <c r="J33" s="33">
        <f>Workings!K100</f>
        <v>0</v>
      </c>
      <c r="K33" s="33">
        <f>Workings!L100</f>
        <v>0</v>
      </c>
      <c r="L33" s="33">
        <f>Workings!M100</f>
        <v>0</v>
      </c>
      <c r="M33" s="33">
        <f>Workings!N100</f>
        <v>-23214259.569398172</v>
      </c>
    </row>
    <row r="34" spans="3:13" ht="15" thickBot="1" x14ac:dyDescent="0.4">
      <c r="I34" s="79"/>
      <c r="J34" s="79"/>
      <c r="K34" s="79"/>
      <c r="L34" s="79"/>
      <c r="M34" s="79"/>
    </row>
    <row r="35" spans="3:13" ht="15" thickBot="1" x14ac:dyDescent="0.4">
      <c r="C35" s="1" t="s">
        <v>217</v>
      </c>
      <c r="I35" s="58">
        <f>SUM(I29:I34)</f>
        <v>94831835.084865585</v>
      </c>
      <c r="J35" s="58">
        <f t="shared" ref="J35:M35" si="5">SUM(J29:J34)</f>
        <v>-7923219.116858786</v>
      </c>
      <c r="K35" s="58">
        <f t="shared" si="5"/>
        <v>-8902909.9075978547</v>
      </c>
      <c r="L35" s="58">
        <f t="shared" si="5"/>
        <v>-13198922.93716131</v>
      </c>
      <c r="M35" s="58">
        <f t="shared" si="5"/>
        <v>-39829614.199292138</v>
      </c>
    </row>
    <row r="37" spans="3:13" x14ac:dyDescent="0.35">
      <c r="C37" s="1" t="s">
        <v>218</v>
      </c>
      <c r="I37" s="86">
        <f>I20+I25+I35</f>
        <v>44945033.804865569</v>
      </c>
      <c r="J37" s="86">
        <f t="shared" ref="J37:M37" si="6">J20+J25+J35</f>
        <v>26866090.280559875</v>
      </c>
      <c r="K37" s="86">
        <f t="shared" si="6"/>
        <v>53353188.386032775</v>
      </c>
      <c r="L37" s="86">
        <f t="shared" si="6"/>
        <v>58154022.769248143</v>
      </c>
      <c r="M37" s="86">
        <f t="shared" si="6"/>
        <v>40987799.024050564</v>
      </c>
    </row>
    <row r="38" spans="3:13" ht="15" thickBot="1" x14ac:dyDescent="0.4">
      <c r="C38" s="1" t="s">
        <v>158</v>
      </c>
      <c r="I38" s="85">
        <f>H39</f>
        <v>0</v>
      </c>
      <c r="J38" s="85">
        <f t="shared" ref="J38:M38" si="7">I39</f>
        <v>44945033.804865569</v>
      </c>
      <c r="K38" s="85">
        <f t="shared" si="7"/>
        <v>71811124.085425436</v>
      </c>
      <c r="L38" s="85">
        <f t="shared" si="7"/>
        <v>125164312.47145821</v>
      </c>
      <c r="M38" s="85">
        <f t="shared" si="7"/>
        <v>183318335.24070635</v>
      </c>
    </row>
    <row r="39" spans="3:13" ht="15" thickBot="1" x14ac:dyDescent="0.4">
      <c r="C39" s="1" t="s">
        <v>163</v>
      </c>
      <c r="I39" s="60">
        <f>SUM(I37:I38)</f>
        <v>44945033.804865569</v>
      </c>
      <c r="J39" s="60">
        <f t="shared" ref="J39:M39" si="8">SUM(J37:J38)</f>
        <v>71811124.085425436</v>
      </c>
      <c r="K39" s="60">
        <f t="shared" si="8"/>
        <v>125164312.47145821</v>
      </c>
      <c r="L39" s="60">
        <f t="shared" si="8"/>
        <v>183318335.24070635</v>
      </c>
      <c r="M39" s="60">
        <f t="shared" si="8"/>
        <v>224306134.26475692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Drop Down 1">
              <controlPr defaultSize="0" autoLine="0" autoPict="0">
                <anchor moveWithCells="1">
                  <from>
                    <xdr:col>2</xdr:col>
                    <xdr:colOff>63500</xdr:colOff>
                    <xdr:row>0</xdr:row>
                    <xdr:rowOff>101600</xdr:rowOff>
                  </from>
                  <to>
                    <xdr:col>2</xdr:col>
                    <xdr:colOff>1263650</xdr:colOff>
                    <xdr:row>1</xdr:row>
                    <xdr:rowOff>127000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85F19-156C-41E0-9F09-D7A0A04018F1}">
  <dimension ref="B1:N61"/>
  <sheetViews>
    <sheetView showGridLines="0" workbookViewId="0">
      <selection activeCell="N2" sqref="N2"/>
    </sheetView>
  </sheetViews>
  <sheetFormatPr defaultRowHeight="14.5" x14ac:dyDescent="0.35"/>
  <cols>
    <col min="3" max="3" width="22.1796875" customWidth="1"/>
    <col min="9" max="9" width="13.81640625" bestFit="1" customWidth="1"/>
    <col min="10" max="10" width="13.54296875" customWidth="1"/>
    <col min="11" max="11" width="13.26953125" customWidth="1"/>
    <col min="12" max="12" width="13.36328125" customWidth="1"/>
    <col min="13" max="13" width="12.54296875" customWidth="1"/>
    <col min="14" max="14" width="10.08984375" bestFit="1" customWidth="1"/>
  </cols>
  <sheetData>
    <row r="1" spans="2:14" x14ac:dyDescent="0.35">
      <c r="B1" t="s">
        <v>43</v>
      </c>
      <c r="D1" t="s">
        <v>6</v>
      </c>
      <c r="M1" t="s">
        <v>44</v>
      </c>
      <c r="N1" s="99">
        <f ca="1">TODAY()</f>
        <v>45735</v>
      </c>
    </row>
    <row r="3" spans="2:14" ht="28.5" x14ac:dyDescent="0.65">
      <c r="C3" s="15" t="s">
        <v>54</v>
      </c>
      <c r="D3" s="15"/>
      <c r="E3" s="15"/>
      <c r="F3" s="15"/>
      <c r="G3" s="15"/>
      <c r="H3" s="15"/>
      <c r="I3" s="15"/>
      <c r="J3" s="15"/>
      <c r="K3" s="15"/>
      <c r="L3" s="15"/>
      <c r="M3" s="15"/>
    </row>
    <row r="5" spans="2:14" ht="15" thickBot="1" x14ac:dyDescent="0.4">
      <c r="H5" s="47">
        <v>2024</v>
      </c>
      <c r="I5" s="64">
        <v>1</v>
      </c>
      <c r="J5" s="65">
        <v>2</v>
      </c>
      <c r="K5" s="66">
        <v>3</v>
      </c>
      <c r="L5" s="67">
        <v>4</v>
      </c>
      <c r="M5" s="68">
        <v>5</v>
      </c>
    </row>
    <row r="6" spans="2:14" ht="15" thickTop="1" x14ac:dyDescent="0.35"/>
    <row r="7" spans="2:14" x14ac:dyDescent="0.35">
      <c r="C7" s="1" t="s">
        <v>219</v>
      </c>
    </row>
    <row r="8" spans="2:14" x14ac:dyDescent="0.35">
      <c r="C8" s="62" t="s">
        <v>220</v>
      </c>
    </row>
    <row r="9" spans="2:14" x14ac:dyDescent="0.35">
      <c r="E9" t="s">
        <v>221</v>
      </c>
      <c r="I9" s="78">
        <f>'Income Statement'!I26</f>
        <v>12281243.682284269</v>
      </c>
      <c r="J9" s="78">
        <f>'Income Statement'!J26</f>
        <v>18576959.593228687</v>
      </c>
      <c r="K9" s="78">
        <f>'Income Statement'!K26</f>
        <v>41382863.55745732</v>
      </c>
      <c r="L9" s="78">
        <f>'Income Statement'!L26</f>
        <v>59723088.59767285</v>
      </c>
      <c r="M9" s="78">
        <f>'Income Statement'!M26</f>
        <v>64077239.376163647</v>
      </c>
    </row>
    <row r="10" spans="2:14" x14ac:dyDescent="0.35">
      <c r="I10" s="16"/>
      <c r="J10" s="16"/>
      <c r="K10" s="16"/>
      <c r="L10" s="16"/>
      <c r="M10" s="16"/>
    </row>
    <row r="11" spans="2:14" x14ac:dyDescent="0.35">
      <c r="D11" t="s">
        <v>222</v>
      </c>
      <c r="E11" t="s">
        <v>223</v>
      </c>
      <c r="I11" s="16"/>
      <c r="J11" s="16"/>
      <c r="K11" s="16"/>
      <c r="L11" s="16"/>
      <c r="M11" s="16"/>
    </row>
    <row r="12" spans="2:14" x14ac:dyDescent="0.35">
      <c r="E12" t="s">
        <v>170</v>
      </c>
      <c r="I12" s="36">
        <f>-'Income Statement'!I16</f>
        <v>8595000</v>
      </c>
      <c r="J12" s="36">
        <f>-'Income Statement'!J16</f>
        <v>8595000</v>
      </c>
      <c r="K12" s="36">
        <f>-'Income Statement'!K16</f>
        <v>8595000</v>
      </c>
      <c r="L12" s="36">
        <f>-'Income Statement'!L16</f>
        <v>10395000</v>
      </c>
      <c r="M12" s="36">
        <f>-'Income Statement'!M16</f>
        <v>13520000</v>
      </c>
    </row>
    <row r="13" spans="2:14" x14ac:dyDescent="0.35">
      <c r="I13" s="16"/>
      <c r="J13" s="16"/>
      <c r="K13" s="16"/>
      <c r="L13" s="16"/>
      <c r="M13" s="16"/>
    </row>
    <row r="14" spans="2:14" x14ac:dyDescent="0.35">
      <c r="D14" t="s">
        <v>224</v>
      </c>
      <c r="E14" t="s">
        <v>225</v>
      </c>
      <c r="I14" s="33">
        <f>Workings!J129</f>
        <v>3888996.9177157204</v>
      </c>
      <c r="J14" s="33">
        <f>Workings!K129</f>
        <v>3690205.0067713046</v>
      </c>
      <c r="K14" s="33">
        <f>Workings!L129</f>
        <v>3501574.6425426793</v>
      </c>
      <c r="L14" s="33">
        <f>Workings!M129</f>
        <v>3322586.4023271454</v>
      </c>
      <c r="M14" s="33">
        <f>Workings!N129</f>
        <v>18822372.623836357</v>
      </c>
    </row>
    <row r="15" spans="2:14" x14ac:dyDescent="0.35">
      <c r="I15" s="16"/>
      <c r="J15" s="16"/>
      <c r="K15" s="16"/>
      <c r="L15" s="16"/>
      <c r="M15" s="16"/>
    </row>
    <row r="16" spans="2:14" x14ac:dyDescent="0.35">
      <c r="D16" t="s">
        <v>226</v>
      </c>
      <c r="E16" t="s">
        <v>227</v>
      </c>
      <c r="I16" s="33">
        <f>Cashflow!I14+Cashflow!I15+Cashflow!I16</f>
        <v>-14937713.280000001</v>
      </c>
      <c r="J16" s="33">
        <f>Cashflow!J14+Cashflow!J15+Cashflow!J16</f>
        <v>-880891.2</v>
      </c>
      <c r="K16" s="33">
        <f>Cashflow!K14+Cashflow!K15+Cashflow!K16</f>
        <v>-3889903.6799999974</v>
      </c>
      <c r="L16" s="33">
        <f>Cashflow!L14+Cashflow!L15+Cashflow!L16</f>
        <v>-3517971.8400000017</v>
      </c>
      <c r="M16" s="33">
        <f>Cashflow!M14+Cashflow!M15+Cashflow!M16</f>
        <v>-3761265.5999999996</v>
      </c>
    </row>
    <row r="17" spans="3:13" x14ac:dyDescent="0.35">
      <c r="I17" s="16"/>
      <c r="J17" s="16"/>
      <c r="K17" s="16"/>
      <c r="L17" s="16"/>
      <c r="M17" s="16"/>
    </row>
    <row r="18" spans="3:13" x14ac:dyDescent="0.35">
      <c r="D18" t="s">
        <v>226</v>
      </c>
      <c r="E18" t="s">
        <v>228</v>
      </c>
      <c r="I18" s="33">
        <f>-Workings!J58</f>
        <v>-67500000</v>
      </c>
      <c r="J18" s="33">
        <f>-Workings!K58</f>
        <v>0</v>
      </c>
      <c r="K18" s="33">
        <f>-Workings!L58</f>
        <v>0</v>
      </c>
      <c r="L18" s="33">
        <f>-Workings!M58</f>
        <v>-9000000</v>
      </c>
      <c r="M18" s="33">
        <f>-Workings!N58</f>
        <v>-23000000</v>
      </c>
    </row>
    <row r="19" spans="3:13" ht="15" thickBot="1" x14ac:dyDescent="0.4">
      <c r="I19" s="79"/>
      <c r="J19" s="79"/>
      <c r="K19" s="79"/>
      <c r="L19" s="79"/>
      <c r="M19" s="79"/>
    </row>
    <row r="20" spans="3:13" ht="15" thickBot="1" x14ac:dyDescent="0.4">
      <c r="C20" s="1" t="s">
        <v>229</v>
      </c>
      <c r="I20" s="63">
        <f>SUM(I9:I19)</f>
        <v>-57672472.680000007</v>
      </c>
      <c r="J20" s="57">
        <f t="shared" ref="J20:M20" si="0">SUM(J9:J19)</f>
        <v>29981273.399999991</v>
      </c>
      <c r="K20" s="57">
        <f t="shared" si="0"/>
        <v>49589534.520000003</v>
      </c>
      <c r="L20" s="57">
        <f t="shared" si="0"/>
        <v>60922703.159999996</v>
      </c>
      <c r="M20" s="57">
        <f t="shared" si="0"/>
        <v>69658346.400000006</v>
      </c>
    </row>
    <row r="21" spans="3:13" ht="15" thickBot="1" x14ac:dyDescent="0.4">
      <c r="C21" s="1" t="s">
        <v>162</v>
      </c>
      <c r="E21" t="s">
        <v>230</v>
      </c>
      <c r="M21" s="27">
        <f>(M20*(1+I61))/(I57-I61)</f>
        <v>511177066.27494848</v>
      </c>
    </row>
    <row r="22" spans="3:13" ht="15" thickBot="1" x14ac:dyDescent="0.4">
      <c r="C22" s="1" t="s">
        <v>231</v>
      </c>
      <c r="I22" s="63">
        <f>I20+I21</f>
        <v>-57672472.680000007</v>
      </c>
      <c r="J22" s="63">
        <f t="shared" ref="J22:M22" si="1">J20+J21</f>
        <v>29981273.399999991</v>
      </c>
      <c r="K22" s="63">
        <f t="shared" si="1"/>
        <v>49589534.520000003</v>
      </c>
      <c r="L22" s="63">
        <f t="shared" si="1"/>
        <v>60922703.159999996</v>
      </c>
      <c r="M22" s="63">
        <f t="shared" si="1"/>
        <v>580835412.67494845</v>
      </c>
    </row>
    <row r="24" spans="3:13" x14ac:dyDescent="0.35">
      <c r="C24" t="s">
        <v>232</v>
      </c>
      <c r="E24" t="s">
        <v>233</v>
      </c>
      <c r="I24" s="71">
        <f>(1+$I$57)^-I5</f>
        <v>0.8448422221831422</v>
      </c>
      <c r="J24" s="71">
        <f t="shared" ref="J24:M24" si="2">(1+$I$57)^-J5</f>
        <v>0.71375838038334993</v>
      </c>
      <c r="K24" s="71">
        <f t="shared" si="2"/>
        <v>0.60301321618490988</v>
      </c>
      <c r="L24" s="71">
        <f t="shared" si="2"/>
        <v>0.50945102556746291</v>
      </c>
      <c r="M24" s="71">
        <f t="shared" si="2"/>
        <v>0.43040573653389613</v>
      </c>
    </row>
    <row r="25" spans="3:13" x14ac:dyDescent="0.35">
      <c r="I25" s="16"/>
      <c r="J25" s="16"/>
      <c r="K25" s="16"/>
      <c r="L25" s="16"/>
      <c r="M25" s="16"/>
    </row>
    <row r="26" spans="3:13" x14ac:dyDescent="0.35">
      <c r="C26" t="s">
        <v>234</v>
      </c>
      <c r="E26" t="s">
        <v>235</v>
      </c>
      <c r="I26" s="33">
        <f>I22*I24</f>
        <v>-48724139.977767766</v>
      </c>
      <c r="J26" s="33">
        <f t="shared" ref="J26:M26" si="3">J22*J24</f>
        <v>21399385.143814404</v>
      </c>
      <c r="K26" s="33">
        <f t="shared" si="3"/>
        <v>29903144.700017814</v>
      </c>
      <c r="L26" s="33">
        <f t="shared" si="3"/>
        <v>31037133.605204113</v>
      </c>
      <c r="M26" s="33">
        <f t="shared" si="3"/>
        <v>249994893.59733069</v>
      </c>
    </row>
    <row r="27" spans="3:13" x14ac:dyDescent="0.35">
      <c r="I27" s="16"/>
      <c r="J27" s="16"/>
      <c r="K27" s="16"/>
      <c r="L27" s="16"/>
      <c r="M27" s="16"/>
    </row>
    <row r="28" spans="3:13" x14ac:dyDescent="0.35">
      <c r="C28" s="1" t="s">
        <v>236</v>
      </c>
      <c r="I28" s="80">
        <f>SUM(I26:M26)</f>
        <v>283610417.06859922</v>
      </c>
    </row>
    <row r="29" spans="3:13" x14ac:dyDescent="0.35">
      <c r="C29" s="1"/>
      <c r="I29" s="69"/>
    </row>
    <row r="31" spans="3:13" x14ac:dyDescent="0.35">
      <c r="C31" s="1" t="s">
        <v>237</v>
      </c>
    </row>
    <row r="32" spans="3:13" x14ac:dyDescent="0.35">
      <c r="C32" s="62" t="s">
        <v>220</v>
      </c>
    </row>
    <row r="33" spans="3:13" x14ac:dyDescent="0.35">
      <c r="E33" t="s">
        <v>221</v>
      </c>
      <c r="I33" s="36">
        <f>I9</f>
        <v>12281243.682284269</v>
      </c>
      <c r="J33" s="36">
        <f t="shared" ref="J33:M33" si="4">J9</f>
        <v>18576959.593228687</v>
      </c>
      <c r="K33" s="36">
        <f t="shared" si="4"/>
        <v>41382863.55745732</v>
      </c>
      <c r="L33" s="36">
        <f t="shared" si="4"/>
        <v>59723088.59767285</v>
      </c>
      <c r="M33" s="36">
        <f t="shared" si="4"/>
        <v>64077239.376163647</v>
      </c>
    </row>
    <row r="34" spans="3:13" x14ac:dyDescent="0.35">
      <c r="I34" s="16"/>
      <c r="J34" s="16"/>
      <c r="K34" s="16"/>
      <c r="L34" s="16"/>
      <c r="M34" s="16"/>
    </row>
    <row r="35" spans="3:13" x14ac:dyDescent="0.35">
      <c r="D35" t="s">
        <v>222</v>
      </c>
      <c r="E35" t="s">
        <v>223</v>
      </c>
      <c r="I35" s="16"/>
      <c r="J35" s="16"/>
      <c r="K35" s="16"/>
      <c r="L35" s="16"/>
      <c r="M35" s="16"/>
    </row>
    <row r="36" spans="3:13" x14ac:dyDescent="0.35">
      <c r="E36" t="s">
        <v>170</v>
      </c>
      <c r="I36" s="36">
        <f>I12</f>
        <v>8595000</v>
      </c>
      <c r="J36" s="36">
        <f t="shared" ref="J36:M36" si="5">J12</f>
        <v>8595000</v>
      </c>
      <c r="K36" s="36">
        <f t="shared" si="5"/>
        <v>8595000</v>
      </c>
      <c r="L36" s="36">
        <f t="shared" si="5"/>
        <v>10395000</v>
      </c>
      <c r="M36" s="36">
        <f t="shared" si="5"/>
        <v>13520000</v>
      </c>
    </row>
    <row r="37" spans="3:13" x14ac:dyDescent="0.35">
      <c r="I37" s="16"/>
      <c r="J37" s="16"/>
      <c r="K37" s="16"/>
      <c r="L37" s="16"/>
      <c r="M37" s="16"/>
    </row>
    <row r="38" spans="3:13" x14ac:dyDescent="0.35">
      <c r="I38" s="16"/>
      <c r="J38" s="16"/>
      <c r="K38" s="16"/>
      <c r="L38" s="16"/>
      <c r="M38" s="16"/>
    </row>
    <row r="39" spans="3:13" x14ac:dyDescent="0.35">
      <c r="D39" t="s">
        <v>226</v>
      </c>
      <c r="E39" t="s">
        <v>227</v>
      </c>
      <c r="I39" s="45">
        <f>I16</f>
        <v>-14937713.280000001</v>
      </c>
      <c r="J39" s="45">
        <f t="shared" ref="J39:M39" si="6">J16</f>
        <v>-880891.2</v>
      </c>
      <c r="K39" s="45">
        <f t="shared" si="6"/>
        <v>-3889903.6799999974</v>
      </c>
      <c r="L39" s="45">
        <f t="shared" si="6"/>
        <v>-3517971.8400000017</v>
      </c>
      <c r="M39" s="45">
        <f t="shared" si="6"/>
        <v>-3761265.5999999996</v>
      </c>
    </row>
    <row r="40" spans="3:13" x14ac:dyDescent="0.35">
      <c r="I40" s="16"/>
      <c r="J40" s="16"/>
      <c r="K40" s="16"/>
      <c r="L40" s="16"/>
      <c r="M40" s="16"/>
    </row>
    <row r="41" spans="3:13" x14ac:dyDescent="0.35">
      <c r="D41" t="s">
        <v>226</v>
      </c>
      <c r="E41" t="s">
        <v>228</v>
      </c>
      <c r="I41" s="45">
        <f>I18</f>
        <v>-67500000</v>
      </c>
      <c r="J41" s="45">
        <f t="shared" ref="J41:M41" si="7">J18</f>
        <v>0</v>
      </c>
      <c r="K41" s="45">
        <f t="shared" si="7"/>
        <v>0</v>
      </c>
      <c r="L41" s="45">
        <f t="shared" si="7"/>
        <v>-9000000</v>
      </c>
      <c r="M41" s="45">
        <f t="shared" si="7"/>
        <v>-23000000</v>
      </c>
    </row>
    <row r="42" spans="3:13" x14ac:dyDescent="0.35">
      <c r="I42" s="16"/>
      <c r="J42" s="16"/>
      <c r="K42" s="16"/>
      <c r="L42" s="16"/>
      <c r="M42" s="16"/>
    </row>
    <row r="43" spans="3:13" x14ac:dyDescent="0.35">
      <c r="E43" t="s">
        <v>238</v>
      </c>
      <c r="F43" t="s">
        <v>239</v>
      </c>
      <c r="I43" s="33">
        <f>'Financial Position'!I29-'Financial Position'!H29</f>
        <v>28635400.190145597</v>
      </c>
      <c r="J43" s="33">
        <f>'Financial Position'!J29-'Financial Position'!I29</f>
        <v>-1463741.4338195771</v>
      </c>
      <c r="K43" s="33">
        <f>'Financial Position'!K29-'Financial Position'!J29</f>
        <v>-1388920.0948177427</v>
      </c>
      <c r="L43" s="33">
        <f>'Financial Position'!L29-'Financial Position'!K29</f>
        <v>-1317923.3607909903</v>
      </c>
      <c r="M43" s="33">
        <f>'Financial Position'!M29-'Financial Position'!L29</f>
        <v>-24464815.300717287</v>
      </c>
    </row>
    <row r="44" spans="3:13" ht="15" thickBot="1" x14ac:dyDescent="0.4">
      <c r="I44" s="81"/>
      <c r="J44" s="81"/>
      <c r="K44" s="81"/>
      <c r="L44" s="81"/>
      <c r="M44" s="81"/>
    </row>
    <row r="45" spans="3:13" ht="15" thickBot="1" x14ac:dyDescent="0.4">
      <c r="C45" s="1" t="s">
        <v>240</v>
      </c>
      <c r="I45" s="63">
        <f>SUM(I33:I44)</f>
        <v>-32926069.407570139</v>
      </c>
      <c r="J45" s="63">
        <f t="shared" ref="J45:M45" si="8">SUM(J33:J44)</f>
        <v>24827326.95940911</v>
      </c>
      <c r="K45" s="63">
        <f t="shared" si="8"/>
        <v>44699039.782639578</v>
      </c>
      <c r="L45" s="63">
        <f t="shared" si="8"/>
        <v>56282193.396881856</v>
      </c>
      <c r="M45" s="63">
        <f t="shared" si="8"/>
        <v>26371158.475446366</v>
      </c>
    </row>
    <row r="46" spans="3:13" ht="15" thickBot="1" x14ac:dyDescent="0.4">
      <c r="C46" s="1" t="s">
        <v>162</v>
      </c>
      <c r="D46" t="s">
        <v>241</v>
      </c>
      <c r="M46" s="27">
        <f>(M45*(1+I61))/(I59-I61)</f>
        <v>159523086.89100391</v>
      </c>
    </row>
    <row r="47" spans="3:13" ht="15" thickBot="1" x14ac:dyDescent="0.4">
      <c r="C47" s="1" t="s">
        <v>242</v>
      </c>
      <c r="I47" s="63">
        <f>I45+I46</f>
        <v>-32926069.407570139</v>
      </c>
      <c r="J47" s="63">
        <f t="shared" ref="J47:M47" si="9">J45+J46</f>
        <v>24827326.95940911</v>
      </c>
      <c r="K47" s="63">
        <f t="shared" si="9"/>
        <v>44699039.782639578</v>
      </c>
      <c r="L47" s="63">
        <f t="shared" si="9"/>
        <v>56282193.396881856</v>
      </c>
      <c r="M47" s="63">
        <f t="shared" si="9"/>
        <v>185894245.36645028</v>
      </c>
    </row>
    <row r="48" spans="3:13" x14ac:dyDescent="0.35">
      <c r="C48" s="1"/>
    </row>
    <row r="49" spans="3:13" x14ac:dyDescent="0.35">
      <c r="C49" s="1" t="s">
        <v>232</v>
      </c>
      <c r="D49" t="s">
        <v>243</v>
      </c>
      <c r="I49" s="71">
        <f>(1+$I$59)^-I5</f>
        <v>0.82378700169588392</v>
      </c>
      <c r="J49" s="71">
        <f t="shared" ref="J49:M49" si="10">(1+$I$59)^-J5</f>
        <v>0.67862502416309423</v>
      </c>
      <c r="K49" s="71">
        <f t="shared" si="10"/>
        <v>0.55904247393111217</v>
      </c>
      <c r="L49" s="71">
        <f t="shared" si="10"/>
        <v>0.46053192342036015</v>
      </c>
      <c r="M49" s="71">
        <f t="shared" si="10"/>
        <v>0.37938021237969693</v>
      </c>
    </row>
    <row r="50" spans="3:13" x14ac:dyDescent="0.35">
      <c r="C50" s="1"/>
      <c r="I50" s="16"/>
      <c r="J50" s="16"/>
      <c r="K50" s="16"/>
      <c r="L50" s="16"/>
      <c r="M50" s="16"/>
    </row>
    <row r="51" spans="3:13" x14ac:dyDescent="0.35">
      <c r="C51" s="1" t="s">
        <v>244</v>
      </c>
      <c r="D51" t="s">
        <v>235</v>
      </c>
      <c r="I51" s="33">
        <f>I47*I49</f>
        <v>-27124067.994892772</v>
      </c>
      <c r="J51" s="33">
        <f t="shared" ref="J51:M51" si="11">J47*J49</f>
        <v>16848445.357734047</v>
      </c>
      <c r="K51" s="33">
        <f t="shared" si="11"/>
        <v>24988661.782432031</v>
      </c>
      <c r="L51" s="33">
        <f t="shared" si="11"/>
        <v>25919746.779382695</v>
      </c>
      <c r="M51" s="33">
        <f t="shared" si="11"/>
        <v>70524598.287287399</v>
      </c>
    </row>
    <row r="52" spans="3:13" x14ac:dyDescent="0.35">
      <c r="C52" s="1"/>
    </row>
    <row r="53" spans="3:13" x14ac:dyDescent="0.35">
      <c r="C53" s="1" t="s">
        <v>245</v>
      </c>
      <c r="I53" s="82">
        <f>SUM(I51:M51)</f>
        <v>111157384.2119434</v>
      </c>
    </row>
    <row r="54" spans="3:13" x14ac:dyDescent="0.35">
      <c r="C54" s="1"/>
    </row>
    <row r="57" spans="3:13" x14ac:dyDescent="0.35">
      <c r="C57" t="s">
        <v>251</v>
      </c>
      <c r="I57" s="23">
        <f>Workings!F134</f>
        <v>0.18365296352722182</v>
      </c>
    </row>
    <row r="59" spans="3:13" x14ac:dyDescent="0.35">
      <c r="C59" t="s">
        <v>149</v>
      </c>
      <c r="I59" s="21">
        <f>Workings!F136</f>
        <v>0.2139060193246026</v>
      </c>
    </row>
    <row r="61" spans="3:13" x14ac:dyDescent="0.35">
      <c r="C61" t="s">
        <v>66</v>
      </c>
      <c r="I61" s="23">
        <f>Assumption!E16</f>
        <v>4.1700000000000001E-2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1265" r:id="rId3" name="Drop Down 1">
              <controlPr defaultSize="0" autoLine="0" autoPict="0">
                <anchor moveWithCells="1">
                  <from>
                    <xdr:col>2</xdr:col>
                    <xdr:colOff>12700</xdr:colOff>
                    <xdr:row>0</xdr:row>
                    <xdr:rowOff>146050</xdr:rowOff>
                  </from>
                  <to>
                    <xdr:col>2</xdr:col>
                    <xdr:colOff>1212850</xdr:colOff>
                    <xdr:row>1</xdr:row>
                    <xdr:rowOff>171450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4D4BA-C4C5-42C1-B76F-9F11C6D4504D}">
  <dimension ref="B1:N36"/>
  <sheetViews>
    <sheetView showGridLines="0" workbookViewId="0">
      <selection activeCell="N2" sqref="N2"/>
    </sheetView>
  </sheetViews>
  <sheetFormatPr defaultRowHeight="14.5" x14ac:dyDescent="0.35"/>
  <cols>
    <col min="3" max="3" width="19" customWidth="1"/>
    <col min="13" max="13" width="12.08984375" customWidth="1"/>
    <col min="14" max="14" width="10.08984375" bestFit="1" customWidth="1"/>
  </cols>
  <sheetData>
    <row r="1" spans="2:14" x14ac:dyDescent="0.35">
      <c r="B1" t="s">
        <v>43</v>
      </c>
      <c r="D1" t="s">
        <v>6</v>
      </c>
      <c r="M1" t="s">
        <v>44</v>
      </c>
      <c r="N1" s="99">
        <f ca="1">TODAY()</f>
        <v>45735</v>
      </c>
    </row>
    <row r="3" spans="2:14" ht="28.5" x14ac:dyDescent="0.65">
      <c r="C3" s="15" t="s">
        <v>30</v>
      </c>
      <c r="D3" s="15"/>
      <c r="E3" s="15"/>
      <c r="F3" s="15"/>
      <c r="G3" s="15"/>
      <c r="H3" s="15"/>
      <c r="I3" s="15"/>
      <c r="J3" s="15"/>
      <c r="K3" s="15"/>
      <c r="L3" s="15"/>
      <c r="M3" s="15"/>
    </row>
    <row r="5" spans="2:14" ht="15" thickBot="1" x14ac:dyDescent="0.4">
      <c r="H5" s="47">
        <v>2024</v>
      </c>
      <c r="I5" s="64">
        <v>1</v>
      </c>
      <c r="J5" s="65">
        <v>2</v>
      </c>
      <c r="K5" s="66">
        <v>3</v>
      </c>
      <c r="L5" s="67">
        <v>4</v>
      </c>
      <c r="M5" s="68">
        <v>5</v>
      </c>
    </row>
    <row r="6" spans="2:14" ht="15" thickTop="1" x14ac:dyDescent="0.35"/>
    <row r="7" spans="2:14" x14ac:dyDescent="0.35">
      <c r="C7" s="1" t="s">
        <v>264</v>
      </c>
    </row>
    <row r="8" spans="2:14" x14ac:dyDescent="0.35">
      <c r="C8" t="s">
        <v>265</v>
      </c>
      <c r="I8" s="77">
        <f>'Income Statement'!I10/'Income Statement'!I7</f>
        <v>0.64028309223829516</v>
      </c>
      <c r="J8" s="77">
        <f>'Income Statement'!J10/'Income Statement'!J7</f>
        <v>0.64574078098963983</v>
      </c>
      <c r="K8" s="77">
        <f>'Income Statement'!K10/'Income Statement'!K7</f>
        <v>0.66297952825990214</v>
      </c>
      <c r="L8" s="77">
        <f>'Income Statement'!L10/'Income Statement'!L7</f>
        <v>0.67287356321839076</v>
      </c>
      <c r="M8" s="77">
        <f>'Income Statement'!M10/'Income Statement'!M7</f>
        <v>0.68024820632150473</v>
      </c>
    </row>
    <row r="9" spans="2:14" x14ac:dyDescent="0.35">
      <c r="C9" t="s">
        <v>266</v>
      </c>
      <c r="I9" s="77">
        <f>'Income Statement'!I14/'Income Statement'!I7</f>
        <v>0.21975423860631504</v>
      </c>
      <c r="J9" s="77">
        <f>'Income Statement'!J14/'Income Statement'!J7</f>
        <v>0.26151339885854114</v>
      </c>
      <c r="K9" s="77">
        <f>'Income Statement'!K14/'Income Statement'!K7</f>
        <v>0.3626095596597933</v>
      </c>
      <c r="L9" s="77">
        <f>'Income Statement'!L14/'Income Statement'!L7</f>
        <v>0.4142560664112388</v>
      </c>
      <c r="M9" s="77">
        <f>'Income Statement'!M14/'Income Statement'!M7</f>
        <v>0.45897108568719969</v>
      </c>
    </row>
    <row r="10" spans="2:14" x14ac:dyDescent="0.35">
      <c r="C10" t="s">
        <v>267</v>
      </c>
      <c r="I10" s="77">
        <f>'Income Statement'!I26/'Income Statement'!I7</f>
        <v>8.2911819937303066E-2</v>
      </c>
      <c r="J10" s="77">
        <f>'Income Statement'!J26/'Income Statement'!J7</f>
        <v>0.1168284646832807</v>
      </c>
      <c r="K10" s="77">
        <f>'Income Statement'!K26/'Income Statement'!K7</f>
        <v>0.19983658553542705</v>
      </c>
      <c r="L10" s="77">
        <f>'Income Statement'!L26/'Income Statement'!L7</f>
        <v>0.23835843150412217</v>
      </c>
      <c r="M10" s="77">
        <f>'Income Statement'!M26/'Income Statement'!M7</f>
        <v>0.21571690372364574</v>
      </c>
    </row>
    <row r="12" spans="2:14" x14ac:dyDescent="0.35">
      <c r="C12" t="s">
        <v>268</v>
      </c>
      <c r="I12" s="77">
        <f>'Income Statement'!I26/'Financial Position'!I25</f>
        <v>0.15305577919858546</v>
      </c>
      <c r="J12" s="77">
        <f>'Income Statement'!J26/'Financial Position'!J25</f>
        <v>0.19533745698722593</v>
      </c>
      <c r="K12" s="77">
        <f>'Income Statement'!K26/'Financial Position'!K25</f>
        <v>0.32277867280244998</v>
      </c>
      <c r="L12" s="77">
        <f>'Income Statement'!L26/'Financial Position'!L25</f>
        <v>0.33936148599854138</v>
      </c>
      <c r="M12" s="77">
        <f>'Income Statement'!M26/'Financial Position'!M25</f>
        <v>0.28196999283592605</v>
      </c>
    </row>
    <row r="13" spans="2:14" x14ac:dyDescent="0.35">
      <c r="C13" t="s">
        <v>269</v>
      </c>
      <c r="I13" s="77">
        <f>'Income Statement'!I26/'Financial Position'!I20</f>
        <v>0.10265211477160373</v>
      </c>
      <c r="J13" s="77">
        <f>'Income Statement'!J26/'Financial Position'!J20</f>
        <v>0.13378767869361208</v>
      </c>
      <c r="K13" s="77">
        <f>'Income Statement'!K26/'Financial Position'!K20</f>
        <v>0.22038120629541719</v>
      </c>
      <c r="L13" s="77">
        <f>'Income Statement'!L26/'Financial Position'!L20</f>
        <v>0.24052258255047571</v>
      </c>
      <c r="M13" s="77">
        <f>'Income Statement'!M26/'Financial Position'!M20</f>
        <v>0.21161440524532438</v>
      </c>
    </row>
    <row r="15" spans="2:14" x14ac:dyDescent="0.35">
      <c r="C15" s="1" t="s">
        <v>270</v>
      </c>
    </row>
    <row r="16" spans="2:14" x14ac:dyDescent="0.35">
      <c r="C16" t="s">
        <v>271</v>
      </c>
      <c r="I16" s="71">
        <f>'Financial Position'!I18/'Financial Position'!I38</f>
        <v>5.6425014782620355</v>
      </c>
      <c r="J16" s="71">
        <f>'Financial Position'!J18/'Financial Position'!J38</f>
        <v>5.3402516154005824</v>
      </c>
      <c r="K16" s="71">
        <f>'Financial Position'!K18/'Financial Position'!K38</f>
        <v>4.3229876187325642</v>
      </c>
      <c r="L16" s="71">
        <f>'Financial Position'!L18/'Financial Position'!L38</f>
        <v>4.3462448223821344</v>
      </c>
      <c r="M16" s="71">
        <f>'Financial Position'!M18/'Financial Position'!M38</f>
        <v>3.3486478551538887</v>
      </c>
    </row>
    <row r="17" spans="3:13" x14ac:dyDescent="0.35">
      <c r="C17" t="s">
        <v>272</v>
      </c>
      <c r="I17" s="71">
        <f>('Financial Position'!I18-'Financial Position'!I15)/'Financial Position'!I38</f>
        <v>4.4049500363969187</v>
      </c>
      <c r="J17" s="71">
        <f>('Financial Position'!J18-'Financial Position'!J15)/'Financial Position'!J38</f>
        <v>4.4908960701940055</v>
      </c>
      <c r="K17" s="71">
        <f>('Financial Position'!K18-'Financial Position'!K15)/'Financial Position'!K38</f>
        <v>3.8065903141981416</v>
      </c>
      <c r="L17" s="71">
        <f>('Financial Position'!L18-'Financial Position'!L15)/'Financial Position'!L38</f>
        <v>3.9180430640179003</v>
      </c>
      <c r="M17" s="71">
        <f>('Financial Position'!M18-'Financial Position'!M15)/'Financial Position'!M38</f>
        <v>3.0343666955295738</v>
      </c>
    </row>
    <row r="18" spans="3:13" x14ac:dyDescent="0.35">
      <c r="C18" t="s">
        <v>41</v>
      </c>
      <c r="I18" s="71">
        <f>'Financial Position'!I17/'Financial Position'!I38</f>
        <v>4.1755934849602845</v>
      </c>
      <c r="J18" s="71">
        <f>'Financial Position'!J17/'Financial Position'!J38</f>
        <v>4.331059148597574</v>
      </c>
      <c r="K18" s="71">
        <f>'Financial Position'!K17/'Financial Position'!K38</f>
        <v>3.7044407717943488</v>
      </c>
      <c r="L18" s="71">
        <f>'Financial Position'!L17/'Financial Position'!L38</f>
        <v>3.8307777724327789</v>
      </c>
      <c r="M18" s="71">
        <f>'Financial Position'!M17/'Financial Position'!M38</f>
        <v>2.968840628991368</v>
      </c>
    </row>
    <row r="20" spans="3:13" x14ac:dyDescent="0.35">
      <c r="C20" s="1" t="s">
        <v>273</v>
      </c>
    </row>
    <row r="21" spans="3:13" x14ac:dyDescent="0.35">
      <c r="C21" t="s">
        <v>274</v>
      </c>
      <c r="I21" s="77">
        <f>('Financial Position'!I29+'Financial Position'!I34)/'Financial Position'!I25</f>
        <v>0.37609516141762789</v>
      </c>
      <c r="J21" s="77">
        <f>('Financial Position'!J29+'Financial Position'!J34)/'Financial Position'!J25</f>
        <v>0.31732278348441212</v>
      </c>
      <c r="K21" s="77">
        <f>('Financial Position'!K29+'Financial Position'!K34)/'Financial Position'!K25</f>
        <v>0.23538276196194993</v>
      </c>
      <c r="L21" s="77">
        <f>('Financial Position'!L29+'Financial Position'!L34)/'Financial Position'!L25</f>
        <v>0.17147888685967136</v>
      </c>
      <c r="M21" s="77">
        <f>('Financial Position'!M29+'Financial Position'!M34)/'Financial Position'!M25</f>
        <v>0.13279736646020407</v>
      </c>
    </row>
    <row r="22" spans="3:13" x14ac:dyDescent="0.35">
      <c r="C22" t="s">
        <v>37</v>
      </c>
      <c r="I22" s="77">
        <f>'Financial Position'!I25/'Financial Position'!I20</f>
        <v>0.67068434337533611</v>
      </c>
      <c r="J22" s="77">
        <f>'Financial Position'!J25/'Financial Position'!J20</f>
        <v>0.684905397853936</v>
      </c>
      <c r="K22" s="77">
        <f>'Financial Position'!K25/'Financial Position'!K20</f>
        <v>0.68276260132681366</v>
      </c>
      <c r="L22" s="77">
        <f>'Financial Position'!L25/'Financial Position'!L20</f>
        <v>0.70875038115406386</v>
      </c>
      <c r="M22" s="77">
        <f>'Financial Position'!M25/'Financial Position'!M20</f>
        <v>0.75048555031336073</v>
      </c>
    </row>
    <row r="23" spans="3:13" x14ac:dyDescent="0.35">
      <c r="C23" t="s">
        <v>38</v>
      </c>
      <c r="I23" s="77">
        <f>('Financial Position'!I29+'Financial Position'!I34)/'Financial Position'!I20</f>
        <v>0.25224113638202283</v>
      </c>
      <c r="J23" s="77">
        <f>('Financial Position'!J29+'Financial Position'!J34)/'Financial Position'!J20</f>
        <v>0.21733608727050965</v>
      </c>
      <c r="K23" s="77">
        <f>('Financial Position'!K29+'Financial Position'!K34)/'Financial Position'!K20</f>
        <v>0.1607105468646311</v>
      </c>
      <c r="L23" s="77">
        <f>('Financial Position'!L29+'Financial Position'!L34)/'Financial Position'!L20</f>
        <v>0.12153572642166666</v>
      </c>
      <c r="M23" s="77">
        <f>('Financial Position'!M29+'Financial Position'!M34)/'Financial Position'!M20</f>
        <v>9.9662504648051292E-2</v>
      </c>
    </row>
    <row r="24" spans="3:13" x14ac:dyDescent="0.35">
      <c r="C24" t="s">
        <v>42</v>
      </c>
      <c r="I24" s="71">
        <f>'Income Statement'!I18/-'Income Statement'!I20</f>
        <v>4.1579463656396785</v>
      </c>
      <c r="J24" s="71">
        <f>'Income Statement'!J18/-'Income Statement'!J20</f>
        <v>6.0341267108849186</v>
      </c>
      <c r="K24" s="71">
        <f>'Income Statement'!K18/-'Income Statement'!K20</f>
        <v>12.818358247935857</v>
      </c>
      <c r="L24" s="71">
        <f>'Income Statement'!L18/-'Income Statement'!L20</f>
        <v>18.974879014686479</v>
      </c>
      <c r="M24" s="71">
        <f>'Income Statement'!M18/-'Income Statement'!M20</f>
        <v>4.4043125517033515</v>
      </c>
    </row>
    <row r="26" spans="3:13" x14ac:dyDescent="0.35">
      <c r="C26" s="1" t="s">
        <v>275</v>
      </c>
    </row>
    <row r="27" spans="3:13" x14ac:dyDescent="0.35">
      <c r="C27" t="s">
        <v>276</v>
      </c>
      <c r="I27" s="71">
        <f>Workings!J14/(('Financial Position'!I16+'Financial Position'!H16)/2)</f>
        <v>24</v>
      </c>
      <c r="J27" s="71">
        <f>Workings!K14/(('Financial Position'!J16+'Financial Position'!I16)/2)</f>
        <v>12.425340384831777</v>
      </c>
      <c r="K27" s="71">
        <f>Workings!L14/(('Financial Position'!K16+'Financial Position'!J16)/2)</f>
        <v>13.575757575757576</v>
      </c>
      <c r="L27" s="71">
        <f>Workings!M14/(('Financial Position'!L16+'Financial Position'!K16)/2)</f>
        <v>13.140009062075215</v>
      </c>
      <c r="M27" s="71">
        <f>Workings!N14/(('Financial Position'!M16+'Financial Position'!L16)/2)</f>
        <v>13.018617860523825</v>
      </c>
    </row>
    <row r="28" spans="3:13" x14ac:dyDescent="0.35">
      <c r="C28" t="s">
        <v>277</v>
      </c>
      <c r="I28" s="71">
        <f>365/I27</f>
        <v>15.208333333333334</v>
      </c>
      <c r="J28" s="71">
        <f t="shared" ref="J28:M28" si="0">365/J27</f>
        <v>29.375452800115916</v>
      </c>
      <c r="K28" s="71">
        <f t="shared" si="0"/>
        <v>26.886160714285715</v>
      </c>
      <c r="L28" s="71">
        <f t="shared" si="0"/>
        <v>27.777758620689657</v>
      </c>
      <c r="M28" s="71">
        <f t="shared" si="0"/>
        <v>28.036770409152606</v>
      </c>
    </row>
    <row r="30" spans="3:13" x14ac:dyDescent="0.35">
      <c r="C30" t="s">
        <v>278</v>
      </c>
      <c r="I30" s="71">
        <f>-'Income Statement'!I8/(('Financial Position'!I15+'Financial Position'!H15)/2)</f>
        <v>8</v>
      </c>
      <c r="J30" s="71">
        <f>-'Income Statement'!J8/(('Financial Position'!J15+'Financial Position'!I15)/2)</f>
        <v>4.1112339570450276</v>
      </c>
      <c r="K30" s="71">
        <f>-'Income Statement'!K8/(('Financial Position'!K15+'Financial Position'!J15)/2)</f>
        <v>4.426900691625594</v>
      </c>
      <c r="L30" s="71">
        <f>-'Income Statement'!L8/(('Financial Position'!L15+'Financial Position'!K15)/2)</f>
        <v>4.3208676958206311</v>
      </c>
      <c r="M30" s="71">
        <f>-'Income Statement'!M8/(('Financial Position'!M15+'Financial Position'!L15)/2)</f>
        <v>4.29422258102319</v>
      </c>
    </row>
    <row r="31" spans="3:13" x14ac:dyDescent="0.35">
      <c r="C31" t="s">
        <v>279</v>
      </c>
      <c r="I31" s="71">
        <f>365/I30</f>
        <v>45.625</v>
      </c>
      <c r="J31" s="71">
        <f t="shared" ref="J31:M31" si="1">365/J30</f>
        <v>88.781130875447872</v>
      </c>
      <c r="K31" s="71">
        <f t="shared" si="1"/>
        <v>82.450460361686822</v>
      </c>
      <c r="L31" s="71">
        <f t="shared" si="1"/>
        <v>84.473773717498233</v>
      </c>
      <c r="M31" s="71">
        <f t="shared" si="1"/>
        <v>84.997922933242776</v>
      </c>
    </row>
    <row r="33" spans="3:13" x14ac:dyDescent="0.35">
      <c r="C33" t="s">
        <v>280</v>
      </c>
      <c r="I33" s="71">
        <f>Workings!J26/(('Financial Position'!I35+'Financial Position'!H35)/2)</f>
        <v>24</v>
      </c>
      <c r="J33" s="71">
        <f>Workings!K26/(('Financial Position'!J35+'Financial Position'!I35)/2)</f>
        <v>12.425340384831777</v>
      </c>
      <c r="K33" s="71">
        <f>Workings!L26/(('Financial Position'!K35+'Financial Position'!J35)/2)</f>
        <v>13.575757575757576</v>
      </c>
      <c r="L33" s="71">
        <f>Workings!M26/(('Financial Position'!L35+'Financial Position'!K35)/2)</f>
        <v>13.140009062075213</v>
      </c>
      <c r="M33" s="71">
        <f>Workings!N26/(('Financial Position'!M35+'Financial Position'!L35)/2)</f>
        <v>13.018617860523824</v>
      </c>
    </row>
    <row r="34" spans="3:13" x14ac:dyDescent="0.35">
      <c r="C34" t="s">
        <v>281</v>
      </c>
      <c r="I34" s="71">
        <f>365/I33</f>
        <v>15.208333333333334</v>
      </c>
      <c r="J34" s="71">
        <f t="shared" ref="J34:M34" si="2">365/J33</f>
        <v>29.375452800115916</v>
      </c>
      <c r="K34" s="71">
        <f t="shared" si="2"/>
        <v>26.886160714285715</v>
      </c>
      <c r="L34" s="71">
        <f t="shared" si="2"/>
        <v>27.77775862068966</v>
      </c>
      <c r="M34" s="71">
        <f t="shared" si="2"/>
        <v>28.036770409152609</v>
      </c>
    </row>
    <row r="36" spans="3:13" x14ac:dyDescent="0.35">
      <c r="C36" t="s">
        <v>282</v>
      </c>
      <c r="I36" s="71">
        <f>I28+I31-I34</f>
        <v>45.625</v>
      </c>
      <c r="J36" s="71">
        <f t="shared" ref="J36:M36" si="3">J28+J31-J34</f>
        <v>88.781130875447872</v>
      </c>
      <c r="K36" s="71">
        <f t="shared" si="3"/>
        <v>82.450460361686822</v>
      </c>
      <c r="L36" s="71">
        <f t="shared" si="3"/>
        <v>84.473773717498233</v>
      </c>
      <c r="M36" s="71">
        <f t="shared" si="3"/>
        <v>84.997922933242776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2289" r:id="rId3" name="Drop Down 1">
              <controlPr defaultSize="0" autoLine="0" autoPict="0">
                <anchor moveWithCells="1">
                  <from>
                    <xdr:col>2</xdr:col>
                    <xdr:colOff>50800</xdr:colOff>
                    <xdr:row>1</xdr:row>
                    <xdr:rowOff>0</xdr:rowOff>
                  </from>
                  <to>
                    <xdr:col>2</xdr:col>
                    <xdr:colOff>933450</xdr:colOff>
                    <xdr:row>2</xdr:row>
                    <xdr:rowOff>12700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87624-CD65-4C53-8DE8-ACA060D9579A}">
  <dimension ref="B1:N25"/>
  <sheetViews>
    <sheetView topLeftCell="C1" workbookViewId="0">
      <selection activeCell="N2" sqref="N2"/>
    </sheetView>
  </sheetViews>
  <sheetFormatPr defaultRowHeight="14.5" x14ac:dyDescent="0.35"/>
  <cols>
    <col min="4" max="4" width="14.1796875" customWidth="1"/>
    <col min="5" max="5" width="13.26953125" customWidth="1"/>
    <col min="6" max="6" width="13.81640625" customWidth="1"/>
    <col min="7" max="7" width="25.26953125" customWidth="1"/>
    <col min="8" max="8" width="12" customWidth="1"/>
    <col min="9" max="9" width="16.1796875" customWidth="1"/>
    <col min="10" max="10" width="14.36328125" customWidth="1"/>
    <col min="11" max="11" width="13" customWidth="1"/>
    <col min="12" max="12" width="11.1796875" customWidth="1"/>
    <col min="13" max="13" width="13.26953125" customWidth="1"/>
    <col min="14" max="14" width="10.08984375" bestFit="1" customWidth="1"/>
  </cols>
  <sheetData>
    <row r="1" spans="2:14" x14ac:dyDescent="0.35">
      <c r="B1" t="s">
        <v>43</v>
      </c>
      <c r="D1" t="s">
        <v>6</v>
      </c>
      <c r="M1" t="s">
        <v>44</v>
      </c>
      <c r="N1" s="99">
        <f ca="1">TODAY()</f>
        <v>45735</v>
      </c>
    </row>
    <row r="3" spans="2:14" ht="28.5" x14ac:dyDescent="0.65">
      <c r="C3" s="15" t="s">
        <v>283</v>
      </c>
      <c r="D3" s="15"/>
      <c r="E3" s="15"/>
      <c r="F3" s="15"/>
      <c r="G3" s="15"/>
      <c r="H3" s="15"/>
      <c r="I3" s="15"/>
      <c r="J3" s="15"/>
      <c r="K3" s="15"/>
      <c r="L3" s="15"/>
      <c r="M3" s="15"/>
    </row>
    <row r="5" spans="2:14" x14ac:dyDescent="0.35">
      <c r="C5" s="75" t="s">
        <v>284</v>
      </c>
      <c r="D5" s="75" t="s">
        <v>8</v>
      </c>
      <c r="E5" s="75" t="s">
        <v>285</v>
      </c>
      <c r="F5" s="75" t="s">
        <v>10</v>
      </c>
      <c r="G5" s="75" t="s">
        <v>286</v>
      </c>
      <c r="H5" s="75" t="s">
        <v>136</v>
      </c>
      <c r="I5" s="75" t="s">
        <v>287</v>
      </c>
      <c r="J5" s="75" t="s">
        <v>14</v>
      </c>
      <c r="K5" s="75" t="s">
        <v>265</v>
      </c>
      <c r="L5" s="75" t="s">
        <v>267</v>
      </c>
      <c r="M5" s="76" t="s">
        <v>268</v>
      </c>
    </row>
    <row r="6" spans="2:14" x14ac:dyDescent="0.35">
      <c r="C6" s="73">
        <v>2025</v>
      </c>
      <c r="D6" s="35">
        <f>'Income Statement'!I7</f>
        <v>148124160</v>
      </c>
      <c r="E6" s="35">
        <f>('Income Statement'!I8)*-1</f>
        <v>53282764.800000004</v>
      </c>
      <c r="F6" s="35">
        <f>'Income Statement'!I10</f>
        <v>94841395.199999988</v>
      </c>
      <c r="I6" s="35">
        <f>'Income Statement'!I14</f>
        <v>32550911.999999985</v>
      </c>
      <c r="J6" s="35">
        <f>'Income Statement'!I26</f>
        <v>12281243.682284269</v>
      </c>
      <c r="K6" s="22">
        <f>'Financial Ratio'!I8</f>
        <v>0.64028309223829516</v>
      </c>
      <c r="L6" s="22">
        <f>'Financial Ratio'!I10</f>
        <v>8.2911819937303066E-2</v>
      </c>
      <c r="M6" s="22">
        <f>'Financial Ratio'!I12</f>
        <v>0.15305577919858546</v>
      </c>
    </row>
    <row r="7" spans="2:14" x14ac:dyDescent="0.35">
      <c r="C7" s="73">
        <v>2026</v>
      </c>
      <c r="D7" s="35">
        <f>'Income Statement'!J7</f>
        <v>159010560</v>
      </c>
      <c r="E7" s="35">
        <f>('Income Statement'!J8)*-1</f>
        <v>56330956.800000004</v>
      </c>
      <c r="F7" s="35">
        <f>'Income Statement'!J10</f>
        <v>102679603.19999999</v>
      </c>
      <c r="I7" s="35">
        <f>'Income Statement'!J14</f>
        <v>41583391.999999985</v>
      </c>
      <c r="J7" s="35">
        <f>'Income Statement'!J26</f>
        <v>18576959.593228687</v>
      </c>
      <c r="K7" s="22">
        <f>'Financial Ratio'!J8</f>
        <v>0.64574078098963983</v>
      </c>
      <c r="L7" s="22">
        <f>'Financial Ratio'!J10</f>
        <v>0.1168284646832807</v>
      </c>
      <c r="M7" s="22">
        <f>'Financial Ratio'!J12</f>
        <v>0.19533745698722593</v>
      </c>
    </row>
    <row r="8" spans="2:14" x14ac:dyDescent="0.35">
      <c r="C8" s="73">
        <v>2027</v>
      </c>
      <c r="D8" s="35">
        <f>'Income Statement'!K7</f>
        <v>207083520</v>
      </c>
      <c r="E8" s="35">
        <f>('Income Statement'!K8)*-1</f>
        <v>69791385.599999994</v>
      </c>
      <c r="F8" s="35">
        <f>'Income Statement'!K10</f>
        <v>137292134.40000001</v>
      </c>
      <c r="I8" s="35">
        <f>'Income Statement'!K14</f>
        <v>75090464</v>
      </c>
      <c r="J8" s="35">
        <f>'Income Statement'!K26</f>
        <v>41382863.55745732</v>
      </c>
      <c r="K8" s="22">
        <f>'Financial Ratio'!K8</f>
        <v>0.66297952825990214</v>
      </c>
      <c r="L8" s="22">
        <f>'Financial Ratio'!K10</f>
        <v>0.19983658553542705</v>
      </c>
      <c r="M8" s="22">
        <f>'Financial Ratio'!K12</f>
        <v>0.32277867280244998</v>
      </c>
    </row>
    <row r="9" spans="2:14" x14ac:dyDescent="0.35">
      <c r="C9" s="73">
        <v>2028</v>
      </c>
      <c r="D9" s="35">
        <f>'Income Statement'!L7</f>
        <v>250560000</v>
      </c>
      <c r="E9" s="35">
        <f>('Income Statement'!L8)*-1</f>
        <v>81964800</v>
      </c>
      <c r="F9" s="35">
        <f>'Income Statement'!L10</f>
        <v>168595200</v>
      </c>
      <c r="I9" s="35">
        <f>'Income Statement'!L14</f>
        <v>103796000</v>
      </c>
      <c r="J9" s="35">
        <f>'Income Statement'!L26</f>
        <v>59723088.59767285</v>
      </c>
      <c r="K9" s="22">
        <f>'Financial Ratio'!L8</f>
        <v>0.67287356321839076</v>
      </c>
      <c r="L9" s="22">
        <f>'Financial Ratio'!L10</f>
        <v>0.23835843150412217</v>
      </c>
      <c r="M9" s="22">
        <f>'Financial Ratio'!L12</f>
        <v>0.33936148599854138</v>
      </c>
    </row>
    <row r="10" spans="2:14" x14ac:dyDescent="0.35">
      <c r="C10" s="73">
        <v>2029</v>
      </c>
      <c r="D10" s="35">
        <f>'Income Statement'!M7</f>
        <v>297043200</v>
      </c>
      <c r="E10" s="35">
        <f>('Income Statement'!M8)*-1</f>
        <v>94980096</v>
      </c>
      <c r="F10" s="35">
        <f>'Income Statement'!M10</f>
        <v>202063104</v>
      </c>
      <c r="I10" s="35">
        <f>'Income Statement'!M14</f>
        <v>136334240</v>
      </c>
      <c r="J10" s="35">
        <f>'Income Statement'!M26</f>
        <v>64077239.376163647</v>
      </c>
      <c r="K10" s="22">
        <f>'Financial Ratio'!M8</f>
        <v>0.68024820632150473</v>
      </c>
      <c r="L10" s="22">
        <f>'Financial Ratio'!M10</f>
        <v>0.21571690372364574</v>
      </c>
      <c r="M10" s="22">
        <f>'Financial Ratio'!M12</f>
        <v>0.28196999283592605</v>
      </c>
    </row>
    <row r="11" spans="2:14" x14ac:dyDescent="0.35">
      <c r="C11" s="74">
        <v>2025</v>
      </c>
      <c r="G11" s="72" t="s">
        <v>288</v>
      </c>
      <c r="H11" s="27">
        <f>Workings!J36</f>
        <v>46800000</v>
      </c>
    </row>
    <row r="12" spans="2:14" x14ac:dyDescent="0.35">
      <c r="C12" s="74">
        <v>2025</v>
      </c>
      <c r="G12" s="73" t="s">
        <v>289</v>
      </c>
      <c r="H12" s="35">
        <f>('Income Statement'!I16)*-1</f>
        <v>8595000</v>
      </c>
    </row>
    <row r="13" spans="2:14" x14ac:dyDescent="0.35">
      <c r="C13" s="74">
        <v>2025</v>
      </c>
      <c r="G13" s="72" t="s">
        <v>290</v>
      </c>
      <c r="H13" s="27">
        <f>SUM(Workings!J37:J46)</f>
        <v>15490483.199999999</v>
      </c>
    </row>
    <row r="14" spans="2:14" x14ac:dyDescent="0.35">
      <c r="C14" s="74">
        <v>2026</v>
      </c>
      <c r="G14" s="72" t="s">
        <v>288</v>
      </c>
      <c r="H14" s="27">
        <f>Workings!K36</f>
        <v>46800000</v>
      </c>
    </row>
    <row r="15" spans="2:14" x14ac:dyDescent="0.35">
      <c r="C15" s="74">
        <v>2026</v>
      </c>
      <c r="G15" s="73" t="s">
        <v>289</v>
      </c>
      <c r="H15" s="35">
        <f>('Income Statement'!J16)*-1</f>
        <v>8595000</v>
      </c>
    </row>
    <row r="16" spans="2:14" x14ac:dyDescent="0.35">
      <c r="C16" s="74">
        <v>2026</v>
      </c>
      <c r="G16" s="72" t="s">
        <v>290</v>
      </c>
      <c r="H16" s="27">
        <f>SUM(Workings!K37:K46)</f>
        <v>14296211.199999999</v>
      </c>
    </row>
    <row r="17" spans="3:8" x14ac:dyDescent="0.35">
      <c r="C17" s="74">
        <v>2027</v>
      </c>
      <c r="G17" s="72" t="s">
        <v>288</v>
      </c>
      <c r="H17" s="27">
        <f>Workings!L36</f>
        <v>46800000</v>
      </c>
    </row>
    <row r="18" spans="3:8" x14ac:dyDescent="0.35">
      <c r="C18" s="74">
        <v>2027</v>
      </c>
      <c r="G18" s="73" t="s">
        <v>289</v>
      </c>
      <c r="H18" s="35">
        <f>('Income Statement'!K16)*-1</f>
        <v>8595000</v>
      </c>
    </row>
    <row r="19" spans="3:8" x14ac:dyDescent="0.35">
      <c r="C19" s="74">
        <v>2027</v>
      </c>
      <c r="G19" s="72" t="s">
        <v>290</v>
      </c>
      <c r="H19" s="27">
        <f>SUM(Workings!L37:L46)</f>
        <v>15401670.4</v>
      </c>
    </row>
    <row r="20" spans="3:8" x14ac:dyDescent="0.35">
      <c r="C20" s="74">
        <v>2028</v>
      </c>
      <c r="G20" s="72" t="s">
        <v>288</v>
      </c>
      <c r="H20" s="27">
        <f>Workings!M36</f>
        <v>46800000</v>
      </c>
    </row>
    <row r="21" spans="3:8" x14ac:dyDescent="0.35">
      <c r="C21" s="74">
        <v>2028</v>
      </c>
      <c r="G21" s="73" t="s">
        <v>289</v>
      </c>
      <c r="H21" s="35">
        <f>('Income Statement'!L16)*-1</f>
        <v>10395000</v>
      </c>
    </row>
    <row r="22" spans="3:8" x14ac:dyDescent="0.35">
      <c r="C22" s="74">
        <v>2028</v>
      </c>
      <c r="G22" s="72" t="s">
        <v>290</v>
      </c>
      <c r="H22" s="27">
        <f>SUM(Workings!M37:M46)</f>
        <v>17999200</v>
      </c>
    </row>
    <row r="23" spans="3:8" x14ac:dyDescent="0.35">
      <c r="C23" s="74">
        <v>2029</v>
      </c>
      <c r="G23" s="72" t="s">
        <v>288</v>
      </c>
      <c r="H23" s="27">
        <f>Workings!N36</f>
        <v>46800000</v>
      </c>
    </row>
    <row r="24" spans="3:8" x14ac:dyDescent="0.35">
      <c r="C24" s="74">
        <v>2029</v>
      </c>
      <c r="G24" s="73" t="s">
        <v>289</v>
      </c>
      <c r="H24" s="35">
        <f>('Income Statement'!M16)*-1</f>
        <v>13520000</v>
      </c>
    </row>
    <row r="25" spans="3:8" x14ac:dyDescent="0.35">
      <c r="C25" s="74">
        <v>2029</v>
      </c>
      <c r="G25" s="72" t="s">
        <v>290</v>
      </c>
      <c r="H25" s="27">
        <f>SUM(Workings!N37:N46)</f>
        <v>18928864</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9DCDD-6DA5-4FD5-899A-7FF1797F5D54}">
  <dimension ref="A2:H48"/>
  <sheetViews>
    <sheetView workbookViewId="0">
      <selection activeCell="N2" sqref="N2"/>
    </sheetView>
  </sheetViews>
  <sheetFormatPr defaultRowHeight="14.5" x14ac:dyDescent="0.35"/>
  <cols>
    <col min="1" max="1" width="12.453125" bestFit="1" customWidth="1"/>
    <col min="2" max="2" width="14.36328125" bestFit="1" customWidth="1"/>
    <col min="3" max="3" width="12.1796875" bestFit="1" customWidth="1"/>
    <col min="4" max="4" width="16.7265625" bestFit="1" customWidth="1"/>
    <col min="5" max="5" width="14.90625" bestFit="1" customWidth="1"/>
    <col min="6" max="6" width="12.1796875" bestFit="1" customWidth="1"/>
    <col min="7" max="7" width="12.26953125" customWidth="1"/>
    <col min="8" max="8" width="16.08984375" customWidth="1"/>
  </cols>
  <sheetData>
    <row r="2" spans="1:5" x14ac:dyDescent="0.35">
      <c r="A2" s="94" t="s">
        <v>291</v>
      </c>
      <c r="B2" t="s">
        <v>293</v>
      </c>
      <c r="C2" t="s">
        <v>294</v>
      </c>
      <c r="D2" t="s">
        <v>295</v>
      </c>
      <c r="E2" t="s">
        <v>296</v>
      </c>
    </row>
    <row r="3" spans="1:5" x14ac:dyDescent="0.35">
      <c r="A3" s="95">
        <v>2025</v>
      </c>
      <c r="B3" s="28">
        <v>148124160</v>
      </c>
      <c r="C3" s="28">
        <v>53282764.800000004</v>
      </c>
      <c r="D3" s="28">
        <v>94841395.199999988</v>
      </c>
      <c r="E3" s="28">
        <v>12281243.682284269</v>
      </c>
    </row>
    <row r="4" spans="1:5" x14ac:dyDescent="0.35">
      <c r="A4" s="95">
        <v>2026</v>
      </c>
      <c r="B4" s="28">
        <v>159010560</v>
      </c>
      <c r="C4" s="28">
        <v>56330956.800000004</v>
      </c>
      <c r="D4" s="28">
        <v>102679603.19999999</v>
      </c>
      <c r="E4" s="28">
        <v>18576959.593228687</v>
      </c>
    </row>
    <row r="5" spans="1:5" x14ac:dyDescent="0.35">
      <c r="A5" s="95">
        <v>2027</v>
      </c>
      <c r="B5" s="28">
        <v>207083520</v>
      </c>
      <c r="C5" s="28">
        <v>69791385.599999994</v>
      </c>
      <c r="D5" s="28">
        <v>137292134.40000001</v>
      </c>
      <c r="E5" s="28">
        <v>41382863.55745732</v>
      </c>
    </row>
    <row r="6" spans="1:5" x14ac:dyDescent="0.35">
      <c r="A6" s="95">
        <v>2028</v>
      </c>
      <c r="B6" s="28">
        <v>250560000</v>
      </c>
      <c r="C6" s="28">
        <v>81964800</v>
      </c>
      <c r="D6" s="28">
        <v>168595200</v>
      </c>
      <c r="E6" s="28">
        <v>59723088.59767285</v>
      </c>
    </row>
    <row r="7" spans="1:5" x14ac:dyDescent="0.35">
      <c r="A7" s="95">
        <v>2029</v>
      </c>
      <c r="B7" s="28">
        <v>297043200</v>
      </c>
      <c r="C7" s="28">
        <v>94980096</v>
      </c>
      <c r="D7" s="28">
        <v>202063104</v>
      </c>
      <c r="E7" s="28">
        <v>64077239.376163647</v>
      </c>
    </row>
    <row r="8" spans="1:5" x14ac:dyDescent="0.35">
      <c r="A8" s="95" t="s">
        <v>292</v>
      </c>
      <c r="B8" s="28">
        <v>1061821440</v>
      </c>
      <c r="C8" s="28">
        <v>356350003.19999999</v>
      </c>
      <c r="D8" s="28">
        <v>705471436.79999995</v>
      </c>
      <c r="E8" s="28">
        <v>196041394.80680677</v>
      </c>
    </row>
    <row r="13" spans="1:5" x14ac:dyDescent="0.35">
      <c r="A13" s="94" t="s">
        <v>297</v>
      </c>
      <c r="B13" s="94" t="s">
        <v>298</v>
      </c>
    </row>
    <row r="14" spans="1:5" x14ac:dyDescent="0.35">
      <c r="A14" s="94" t="s">
        <v>291</v>
      </c>
      <c r="B14" t="s">
        <v>289</v>
      </c>
      <c r="C14" t="s">
        <v>288</v>
      </c>
      <c r="D14" t="s">
        <v>290</v>
      </c>
      <c r="E14" t="s">
        <v>292</v>
      </c>
    </row>
    <row r="15" spans="1:5" x14ac:dyDescent="0.35">
      <c r="A15" s="95">
        <v>2025</v>
      </c>
      <c r="B15" s="28">
        <v>8595000</v>
      </c>
      <c r="C15" s="28">
        <v>46800000</v>
      </c>
      <c r="D15" s="28">
        <v>15490483.199999999</v>
      </c>
      <c r="E15" s="28">
        <v>70885483.200000003</v>
      </c>
    </row>
    <row r="16" spans="1:5" x14ac:dyDescent="0.35">
      <c r="A16" s="95">
        <v>2026</v>
      </c>
      <c r="B16" s="28">
        <v>8595000</v>
      </c>
      <c r="C16" s="28">
        <v>46800000</v>
      </c>
      <c r="D16" s="28">
        <v>14296211.199999999</v>
      </c>
      <c r="E16" s="28">
        <v>69691211.200000003</v>
      </c>
    </row>
    <row r="17" spans="1:5" x14ac:dyDescent="0.35">
      <c r="A17" s="95">
        <v>2027</v>
      </c>
      <c r="B17" s="28">
        <v>8595000</v>
      </c>
      <c r="C17" s="28">
        <v>46800000</v>
      </c>
      <c r="D17" s="28">
        <v>15401670.4</v>
      </c>
      <c r="E17" s="28">
        <v>70796670.400000006</v>
      </c>
    </row>
    <row r="18" spans="1:5" x14ac:dyDescent="0.35">
      <c r="A18" s="95">
        <v>2028</v>
      </c>
      <c r="B18" s="28">
        <v>10395000</v>
      </c>
      <c r="C18" s="28">
        <v>46800000</v>
      </c>
      <c r="D18" s="28">
        <v>17999200</v>
      </c>
      <c r="E18" s="28">
        <v>75194200</v>
      </c>
    </row>
    <row r="19" spans="1:5" x14ac:dyDescent="0.35">
      <c r="A19" s="95">
        <v>2029</v>
      </c>
      <c r="B19" s="28">
        <v>13520000</v>
      </c>
      <c r="C19" s="28">
        <v>46800000</v>
      </c>
      <c r="D19" s="28">
        <v>18928864</v>
      </c>
      <c r="E19" s="28">
        <v>79248864</v>
      </c>
    </row>
    <row r="20" spans="1:5" x14ac:dyDescent="0.35">
      <c r="A20" s="95" t="s">
        <v>292</v>
      </c>
      <c r="B20" s="28">
        <v>49700000</v>
      </c>
      <c r="C20" s="28">
        <v>234000000</v>
      </c>
      <c r="D20" s="28">
        <v>82116428.799999997</v>
      </c>
      <c r="E20" s="28">
        <v>365816428.80000001</v>
      </c>
    </row>
    <row r="24" spans="1:5" x14ac:dyDescent="0.35">
      <c r="A24" s="94" t="s">
        <v>291</v>
      </c>
      <c r="B24" t="s">
        <v>297</v>
      </c>
    </row>
    <row r="25" spans="1:5" x14ac:dyDescent="0.35">
      <c r="A25" s="95" t="s">
        <v>289</v>
      </c>
      <c r="B25" s="28">
        <v>49700000</v>
      </c>
    </row>
    <row r="26" spans="1:5" x14ac:dyDescent="0.35">
      <c r="A26" s="95" t="s">
        <v>288</v>
      </c>
      <c r="B26" s="28">
        <v>234000000</v>
      </c>
    </row>
    <row r="27" spans="1:5" x14ac:dyDescent="0.35">
      <c r="A27" s="95" t="s">
        <v>290</v>
      </c>
      <c r="B27" s="28">
        <v>82116428.800000012</v>
      </c>
    </row>
    <row r="28" spans="1:5" x14ac:dyDescent="0.35">
      <c r="A28" s="95" t="s">
        <v>292</v>
      </c>
      <c r="B28" s="28">
        <v>365816428.80000001</v>
      </c>
    </row>
    <row r="32" spans="1:5" x14ac:dyDescent="0.35">
      <c r="A32" s="94" t="s">
        <v>291</v>
      </c>
      <c r="B32" t="s">
        <v>299</v>
      </c>
      <c r="C32" t="s">
        <v>300</v>
      </c>
      <c r="D32" t="s">
        <v>301</v>
      </c>
    </row>
    <row r="33" spans="1:8" x14ac:dyDescent="0.35">
      <c r="A33" s="95">
        <v>2025</v>
      </c>
      <c r="B33" s="28">
        <v>148124160</v>
      </c>
      <c r="C33" s="28">
        <v>94841395.199999988</v>
      </c>
      <c r="D33" s="28">
        <v>12281243.682284269</v>
      </c>
    </row>
    <row r="34" spans="1:8" x14ac:dyDescent="0.35">
      <c r="A34" s="95">
        <v>2026</v>
      </c>
      <c r="B34" s="28">
        <v>159010560</v>
      </c>
      <c r="C34" s="28">
        <v>102679603.19999999</v>
      </c>
      <c r="D34" s="28">
        <v>18576959.593228687</v>
      </c>
    </row>
    <row r="35" spans="1:8" x14ac:dyDescent="0.35">
      <c r="A35" s="95">
        <v>2027</v>
      </c>
      <c r="B35" s="28">
        <v>207083520</v>
      </c>
      <c r="C35" s="28">
        <v>137292134.40000001</v>
      </c>
      <c r="D35" s="28">
        <v>41382863.55745732</v>
      </c>
    </row>
    <row r="36" spans="1:8" x14ac:dyDescent="0.35">
      <c r="A36" s="95">
        <v>2028</v>
      </c>
      <c r="B36" s="28">
        <v>250560000</v>
      </c>
      <c r="C36" s="28">
        <v>168595200</v>
      </c>
      <c r="D36" s="28">
        <v>59723088.59767285</v>
      </c>
    </row>
    <row r="37" spans="1:8" x14ac:dyDescent="0.35">
      <c r="A37" s="95">
        <v>2029</v>
      </c>
      <c r="B37" s="28">
        <v>297043200</v>
      </c>
      <c r="C37" s="28">
        <v>202063104</v>
      </c>
      <c r="D37" s="28">
        <v>64077239.376163647</v>
      </c>
      <c r="F37" s="93" t="s">
        <v>305</v>
      </c>
      <c r="G37" s="93" t="s">
        <v>306</v>
      </c>
      <c r="H37" s="93" t="s">
        <v>307</v>
      </c>
    </row>
    <row r="38" spans="1:8" x14ac:dyDescent="0.35">
      <c r="A38" s="95" t="s">
        <v>292</v>
      </c>
      <c r="B38" s="28">
        <v>212364288</v>
      </c>
      <c r="C38" s="28">
        <v>141094287.35999998</v>
      </c>
      <c r="D38" s="28">
        <v>39208278.961361356</v>
      </c>
      <c r="F38" s="98">
        <v>212364288</v>
      </c>
      <c r="G38" s="98">
        <v>141094287.35999998</v>
      </c>
      <c r="H38" s="98">
        <v>39208278.961361356</v>
      </c>
    </row>
    <row r="42" spans="1:8" x14ac:dyDescent="0.35">
      <c r="A42" s="94" t="s">
        <v>291</v>
      </c>
      <c r="B42" t="s">
        <v>302</v>
      </c>
      <c r="C42" t="s">
        <v>303</v>
      </c>
      <c r="D42" t="s">
        <v>304</v>
      </c>
    </row>
    <row r="43" spans="1:8" x14ac:dyDescent="0.35">
      <c r="A43" s="95">
        <v>2025</v>
      </c>
      <c r="B43" s="22">
        <v>0.64028309223829516</v>
      </c>
      <c r="C43" s="22">
        <v>8.2911819937303066E-2</v>
      </c>
      <c r="D43" s="22">
        <v>0.15305577919858546</v>
      </c>
    </row>
    <row r="44" spans="1:8" x14ac:dyDescent="0.35">
      <c r="A44" s="95">
        <v>2026</v>
      </c>
      <c r="B44" s="22">
        <v>0.64574078098963983</v>
      </c>
      <c r="C44" s="22">
        <v>0.1168284646832807</v>
      </c>
      <c r="D44" s="22">
        <v>0.19533745698722593</v>
      </c>
    </row>
    <row r="45" spans="1:8" x14ac:dyDescent="0.35">
      <c r="A45" s="95">
        <v>2027</v>
      </c>
      <c r="B45" s="22">
        <v>0.66297952825990214</v>
      </c>
      <c r="C45" s="22">
        <v>0.19983658553542705</v>
      </c>
      <c r="D45" s="22">
        <v>0.32277867280244998</v>
      </c>
    </row>
    <row r="46" spans="1:8" x14ac:dyDescent="0.35">
      <c r="A46" s="95">
        <v>2028</v>
      </c>
      <c r="B46" s="22">
        <v>0.67287356321839076</v>
      </c>
      <c r="C46" s="22">
        <v>0.23835843150412217</v>
      </c>
      <c r="D46" s="22">
        <v>0.33936148599854138</v>
      </c>
    </row>
    <row r="47" spans="1:8" x14ac:dyDescent="0.35">
      <c r="A47" s="95">
        <v>2029</v>
      </c>
      <c r="B47" s="22">
        <v>0.68024820632150473</v>
      </c>
      <c r="C47" s="22">
        <v>0.21571690372364574</v>
      </c>
      <c r="D47" s="22">
        <v>0.28196999283592605</v>
      </c>
    </row>
    <row r="48" spans="1:8" x14ac:dyDescent="0.35">
      <c r="A48" s="95" t="s">
        <v>292</v>
      </c>
      <c r="B48" s="22">
        <v>3.3021251710277326</v>
      </c>
      <c r="C48" s="22">
        <v>0.85365220538377873</v>
      </c>
      <c r="D48" s="22">
        <v>1.2925033878227288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 Page</vt:lpstr>
      <vt:lpstr>Summary Page</vt:lpstr>
      <vt:lpstr>Table of Content</vt:lpstr>
      <vt:lpstr>Dashboard</vt:lpstr>
      <vt:lpstr>Assumption</vt:lpstr>
      <vt:lpstr>Workings</vt:lpstr>
      <vt:lpstr>Income Statement</vt:lpstr>
      <vt:lpstr>Financial Position</vt:lpstr>
      <vt:lpstr>Cashflow</vt:lpstr>
      <vt:lpstr>Valuation</vt:lpstr>
      <vt:lpstr>Financial Ratio</vt:lpstr>
      <vt:lpstr>Data 1</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Ikechukwu Essell</dc:creator>
  <cp:lastModifiedBy>Ikechukwu Essell</cp:lastModifiedBy>
  <dcterms:created xsi:type="dcterms:W3CDTF">2025-03-05T00:20:05Z</dcterms:created>
  <dcterms:modified xsi:type="dcterms:W3CDTF">2025-03-19T00:05:16Z</dcterms:modified>
</cp:coreProperties>
</file>