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ctrlProps/ctrlProp4.xml" ContentType="application/vnd.ms-excel.controlproperties+xml"/>
  <Override PartName="/xl/drawings/drawing6.xml" ContentType="application/vnd.openxmlformats-officedocument.drawing+xml"/>
  <Override PartName="/xl/ctrlProps/ctrlProp5.xml" ContentType="application/vnd.ms-excel.controlproperties+xml"/>
  <Override PartName="/xl/drawings/drawing7.xml" ContentType="application/vnd.openxmlformats-officedocument.drawing+xml"/>
  <Override PartName="/xl/ctrlProps/ctrlProp6.xml" ContentType="application/vnd.ms-excel.controlproperties+xml"/>
  <Override PartName="/xl/drawings/drawing8.xml" ContentType="application/vnd.openxmlformats-officedocument.drawing+xml"/>
  <Override PartName="/xl/ctrlProps/ctrlProp7.xml" ContentType="application/vnd.ms-excel.controlproperties+xml"/>
  <Override PartName="/xl/drawings/drawing9.xml" ContentType="application/vnd.openxmlformats-officedocument.drawing+xml"/>
  <Override PartName="/xl/ctrlProps/ctrlProp8.xml" ContentType="application/vnd.ms-excel.controlproperties+xml"/>
  <Override PartName="/xl/drawings/drawing10.xml" ContentType="application/vnd.openxmlformats-officedocument.drawing+xml"/>
  <Override PartName="/xl/ctrlProps/ctrlProp9.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Ikechukwu\Documents\"/>
    </mc:Choice>
  </mc:AlternateContent>
  <xr:revisionPtr revIDLastSave="0" documentId="13_ncr:1_{549C13B5-E935-4FA2-9DC9-02CFFD6FA74A}" xr6:coauthVersionLast="47" xr6:coauthVersionMax="47" xr10:uidLastSave="{00000000-0000-0000-0000-000000000000}"/>
  <bookViews>
    <workbookView xWindow="-110" yWindow="-110" windowWidth="19420" windowHeight="11500" xr2:uid="{03F3238D-C7A8-4929-A92D-F07EB38F2050}"/>
  </bookViews>
  <sheets>
    <sheet name="Cover Page" sheetId="11" r:id="rId1"/>
    <sheet name="Summary page" sheetId="2" r:id="rId2"/>
    <sheet name="Table of Content" sheetId="3" r:id="rId3"/>
    <sheet name="Dashboard" sheetId="12" r:id="rId4"/>
    <sheet name="Input data" sheetId="4" r:id="rId5"/>
    <sheet name="workings" sheetId="5" r:id="rId6"/>
    <sheet name="Income Statement" sheetId="6" r:id="rId7"/>
    <sheet name="Balance sheet" sheetId="7" r:id="rId8"/>
    <sheet name="Cashflows" sheetId="8" r:id="rId9"/>
    <sheet name="Valuation" sheetId="9" r:id="rId10"/>
    <sheet name="Financial ratio" sheetId="10" r:id="rId11"/>
    <sheet name="data1" sheetId="1" r:id="rId12"/>
    <sheet name="Pivot" sheetId="13" r:id="rId13"/>
  </sheets>
  <definedNames>
    <definedName name="Slicer_Year">#N/A</definedName>
  </definedNames>
  <calcPr calcId="191029"/>
  <pivotCaches>
    <pivotCache cacheId="12"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2" l="1"/>
  <c r="I16" i="2"/>
  <c r="J16" i="2"/>
  <c r="K16" i="2"/>
  <c r="G16" i="2"/>
  <c r="H14" i="2"/>
  <c r="I14" i="2"/>
  <c r="J14" i="2"/>
  <c r="K14" i="2"/>
  <c r="G14" i="2"/>
  <c r="N1" i="12"/>
  <c r="M1" i="1"/>
  <c r="M1" i="10"/>
  <c r="M1" i="9"/>
  <c r="M1" i="8"/>
  <c r="M1" i="7"/>
  <c r="M2" i="6"/>
  <c r="M2" i="5"/>
  <c r="N1" i="4"/>
  <c r="M1" i="2"/>
  <c r="M1" i="3"/>
  <c r="H25" i="1"/>
  <c r="H22" i="1"/>
  <c r="H19" i="1"/>
  <c r="H16" i="1"/>
  <c r="H13" i="1"/>
  <c r="H24" i="1"/>
  <c r="H21" i="1"/>
  <c r="H18" i="1"/>
  <c r="H15" i="1"/>
  <c r="H12" i="1"/>
  <c r="H34" i="2"/>
  <c r="I34" i="2"/>
  <c r="J34" i="2"/>
  <c r="K34" i="2"/>
  <c r="G34" i="2"/>
  <c r="H22" i="2"/>
  <c r="I22" i="2"/>
  <c r="J22" i="2"/>
  <c r="K22" i="2"/>
  <c r="G22" i="2"/>
  <c r="J48" i="9"/>
  <c r="K48" i="9"/>
  <c r="L48" i="9"/>
  <c r="M48" i="9"/>
  <c r="I48" i="9"/>
  <c r="I59" i="9"/>
  <c r="I61" i="9"/>
  <c r="H138" i="5"/>
  <c r="G150" i="5"/>
  <c r="K155" i="5"/>
  <c r="K153" i="5"/>
  <c r="H145" i="5"/>
  <c r="H141" i="5"/>
  <c r="J40" i="9"/>
  <c r="K40" i="9"/>
  <c r="L40" i="9"/>
  <c r="M40" i="9"/>
  <c r="I40" i="9"/>
  <c r="J18" i="9"/>
  <c r="K18" i="9"/>
  <c r="L18" i="9"/>
  <c r="M18" i="9"/>
  <c r="I18" i="9"/>
  <c r="K131" i="5"/>
  <c r="L131" i="5"/>
  <c r="M131" i="5"/>
  <c r="N131" i="5"/>
  <c r="J131" i="5"/>
  <c r="K130" i="5"/>
  <c r="L130" i="5"/>
  <c r="M130" i="5"/>
  <c r="N130" i="5"/>
  <c r="J130" i="5"/>
  <c r="K45" i="5" a="1"/>
  <c r="K45" i="5" s="1"/>
  <c r="L45" i="5" a="1"/>
  <c r="L45" i="5" s="1"/>
  <c r="M45" i="5" a="1"/>
  <c r="M45" i="5" s="1"/>
  <c r="N45" i="5" a="1"/>
  <c r="N45" i="5" s="1"/>
  <c r="J45" i="5" a="1"/>
  <c r="J45" i="5" s="1"/>
  <c r="K40" i="5" a="1"/>
  <c r="K40" i="5" s="1"/>
  <c r="L40" i="5" a="1"/>
  <c r="L40" i="5" s="1"/>
  <c r="M40" i="5" a="1"/>
  <c r="M40" i="5" s="1"/>
  <c r="N40" i="5" a="1"/>
  <c r="N40" i="5" s="1"/>
  <c r="J40" i="5" a="1"/>
  <c r="J40" i="5" s="1"/>
  <c r="K24" i="5" a="1"/>
  <c r="K24" i="5" s="1"/>
  <c r="L24" i="5" a="1"/>
  <c r="L24" i="5" s="1"/>
  <c r="M24" i="5" a="1"/>
  <c r="M24" i="5" s="1"/>
  <c r="N24" i="5" a="1"/>
  <c r="N24" i="5" s="1"/>
  <c r="J24" i="5" a="1"/>
  <c r="J24" i="5" s="1"/>
  <c r="K23" i="5" a="1"/>
  <c r="K23" i="5" s="1"/>
  <c r="L23" i="5" a="1"/>
  <c r="L23" i="5" s="1"/>
  <c r="M23" i="5" a="1"/>
  <c r="M23" i="5" s="1"/>
  <c r="N23" i="5" a="1"/>
  <c r="N23" i="5" s="1"/>
  <c r="J23" i="5" a="1"/>
  <c r="J23" i="5" s="1"/>
  <c r="K13" i="5" a="1"/>
  <c r="K13" i="5" s="1"/>
  <c r="L13" i="5" a="1"/>
  <c r="L13" i="5"/>
  <c r="M13" i="5" a="1"/>
  <c r="M13" i="5" s="1"/>
  <c r="N13" i="5" a="1"/>
  <c r="N13" i="5" s="1"/>
  <c r="J13" i="5" a="1"/>
  <c r="J13" i="5" s="1"/>
  <c r="K12" i="5" a="1"/>
  <c r="K12" i="5" s="1"/>
  <c r="L12" i="5" a="1"/>
  <c r="L12" i="5" s="1"/>
  <c r="M12" i="5" a="1"/>
  <c r="M12" i="5" s="1"/>
  <c r="N12" i="5" a="1"/>
  <c r="N12" i="5"/>
  <c r="J12" i="5" a="1"/>
  <c r="J12" i="5" s="1"/>
  <c r="K11" i="5" a="1"/>
  <c r="K11" i="5"/>
  <c r="L11" i="5" a="1"/>
  <c r="L11" i="5" s="1"/>
  <c r="M11" i="5" a="1"/>
  <c r="M11" i="5" s="1"/>
  <c r="N11" i="5" a="1"/>
  <c r="N11" i="5"/>
  <c r="J11" i="5" a="1"/>
  <c r="J11" i="5" s="1"/>
  <c r="K10" i="5" a="1"/>
  <c r="K10" i="5"/>
  <c r="L10" i="5" a="1"/>
  <c r="L10" i="5" s="1"/>
  <c r="M10" i="5" a="1"/>
  <c r="M10" i="5" s="1"/>
  <c r="N10" i="5" a="1"/>
  <c r="N10" i="5" s="1"/>
  <c r="J10" i="5" a="1"/>
  <c r="J10" i="5" s="1"/>
  <c r="I39" i="8"/>
  <c r="J34" i="8"/>
  <c r="K34" i="8"/>
  <c r="L34" i="8"/>
  <c r="I34" i="8"/>
  <c r="I32" i="8"/>
  <c r="I19" i="8"/>
  <c r="I6" i="8"/>
  <c r="J6" i="8" s="1"/>
  <c r="K6" i="8" s="1"/>
  <c r="L6" i="8" s="1"/>
  <c r="M6" i="8" s="1"/>
  <c r="I6" i="7"/>
  <c r="J6" i="7" s="1"/>
  <c r="K6" i="7" s="1"/>
  <c r="L6" i="7" s="1"/>
  <c r="M6" i="7" s="1"/>
  <c r="J49" i="5"/>
  <c r="I7" i="6"/>
  <c r="J7" i="6" s="1"/>
  <c r="K7" i="6" s="1"/>
  <c r="L7" i="6" s="1"/>
  <c r="M7" i="6" s="1"/>
  <c r="J99" i="5"/>
  <c r="E135" i="4"/>
  <c r="E129" i="4"/>
  <c r="J88" i="5" s="1"/>
  <c r="J65" i="5"/>
  <c r="J73" i="5" s="1"/>
  <c r="K64" i="5"/>
  <c r="K60" i="5"/>
  <c r="L60" i="5"/>
  <c r="M60" i="5"/>
  <c r="N60" i="5"/>
  <c r="J60" i="5"/>
  <c r="K59" i="5"/>
  <c r="L59" i="5"/>
  <c r="M59" i="5"/>
  <c r="N59" i="5"/>
  <c r="J59" i="5"/>
  <c r="K68" i="5" s="1"/>
  <c r="K58" i="5"/>
  <c r="L58" i="5"/>
  <c r="M58" i="5"/>
  <c r="N58" i="5"/>
  <c r="J58" i="5"/>
  <c r="K67" i="5" s="1"/>
  <c r="K57" i="5"/>
  <c r="N66" i="5" s="1"/>
  <c r="L57" i="5"/>
  <c r="M57" i="5"/>
  <c r="N57" i="5"/>
  <c r="J57" i="5"/>
  <c r="J66" i="5" s="1"/>
  <c r="J74" i="5" s="1"/>
  <c r="K56" i="5"/>
  <c r="L56" i="5"/>
  <c r="L65" i="5" s="1"/>
  <c r="M56" i="5"/>
  <c r="N56" i="5"/>
  <c r="N65" i="5" s="1"/>
  <c r="J56" i="5"/>
  <c r="K65" i="5" s="1"/>
  <c r="K55" i="5"/>
  <c r="L55" i="5"/>
  <c r="M55" i="5"/>
  <c r="N55" i="5"/>
  <c r="J55" i="5"/>
  <c r="M64" i="5" s="1"/>
  <c r="K48" i="5"/>
  <c r="L48" i="5"/>
  <c r="M48" i="5"/>
  <c r="N48" i="5"/>
  <c r="J48" i="5"/>
  <c r="K47" i="5"/>
  <c r="L47" i="5"/>
  <c r="M47" i="5"/>
  <c r="N47" i="5"/>
  <c r="J47" i="5"/>
  <c r="K46" i="5"/>
  <c r="L46" i="5"/>
  <c r="M46" i="5"/>
  <c r="N46" i="5"/>
  <c r="J46" i="5"/>
  <c r="K44" i="5"/>
  <c r="L44" i="5"/>
  <c r="M44" i="5"/>
  <c r="N44" i="5"/>
  <c r="J44" i="5"/>
  <c r="K43" i="5"/>
  <c r="L43" i="5"/>
  <c r="M43" i="5"/>
  <c r="N43" i="5"/>
  <c r="K41" i="5"/>
  <c r="L41" i="5"/>
  <c r="M41" i="5"/>
  <c r="N41" i="5"/>
  <c r="J41" i="5"/>
  <c r="K33" i="5"/>
  <c r="L33" i="5"/>
  <c r="M33" i="5"/>
  <c r="N33" i="5"/>
  <c r="K34" i="5"/>
  <c r="L34" i="5"/>
  <c r="M34" i="5"/>
  <c r="N34" i="5"/>
  <c r="K35" i="5"/>
  <c r="L35" i="5"/>
  <c r="M35" i="5"/>
  <c r="N35" i="5"/>
  <c r="K36" i="5"/>
  <c r="L36" i="5"/>
  <c r="M36" i="5"/>
  <c r="N36" i="5"/>
  <c r="K37" i="5"/>
  <c r="L37" i="5"/>
  <c r="M37" i="5"/>
  <c r="N37" i="5"/>
  <c r="K38" i="5"/>
  <c r="L38" i="5"/>
  <c r="M38" i="5"/>
  <c r="N38" i="5"/>
  <c r="J34" i="5"/>
  <c r="J35" i="5"/>
  <c r="J36" i="5"/>
  <c r="J37" i="5"/>
  <c r="J38" i="5"/>
  <c r="J33" i="5"/>
  <c r="J7" i="5"/>
  <c r="K7" i="5" s="1"/>
  <c r="L7" i="5" s="1"/>
  <c r="M7" i="5" s="1"/>
  <c r="N7" i="5" s="1"/>
  <c r="H119" i="4"/>
  <c r="H113" i="4"/>
  <c r="H107" i="4"/>
  <c r="H101" i="4"/>
  <c r="H95" i="4"/>
  <c r="J6" i="4"/>
  <c r="K6" i="4" s="1"/>
  <c r="L6" i="4" s="1"/>
  <c r="M6" i="4" s="1"/>
  <c r="N6" i="4" s="1"/>
  <c r="H11" i="2"/>
  <c r="I11" i="2" s="1"/>
  <c r="J11" i="2" s="1"/>
  <c r="K11" i="2" s="1"/>
  <c r="M65" i="5" l="1"/>
  <c r="K61" i="5"/>
  <c r="J24" i="8" s="1"/>
  <c r="J26" i="8" s="1"/>
  <c r="M61" i="5"/>
  <c r="L24" i="8" s="1"/>
  <c r="L26" i="8" s="1"/>
  <c r="N61" i="5"/>
  <c r="M24" i="8" s="1"/>
  <c r="M26" i="8" s="1"/>
  <c r="L61" i="5"/>
  <c r="K24" i="8" s="1"/>
  <c r="K26" i="8" s="1"/>
  <c r="M68" i="5"/>
  <c r="N68" i="5"/>
  <c r="J61" i="5"/>
  <c r="I24" i="8" s="1"/>
  <c r="I26" i="8" s="1"/>
  <c r="K66" i="5"/>
  <c r="K69" i="5" s="1"/>
  <c r="J18" i="6" s="1"/>
  <c r="J68" i="5"/>
  <c r="J76" i="5" s="1"/>
  <c r="K76" i="5" s="1"/>
  <c r="N67" i="5"/>
  <c r="L64" i="5"/>
  <c r="N64" i="5"/>
  <c r="J39" i="5"/>
  <c r="K73" i="5"/>
  <c r="L73" i="5" s="1"/>
  <c r="N39" i="5"/>
  <c r="M39" i="5"/>
  <c r="L68" i="5"/>
  <c r="K39" i="5"/>
  <c r="M66" i="5"/>
  <c r="L66" i="5"/>
  <c r="L39" i="5"/>
  <c r="J67" i="5"/>
  <c r="J75" i="5" s="1"/>
  <c r="K75" i="5" s="1"/>
  <c r="J64" i="5"/>
  <c r="M67" i="5"/>
  <c r="L67" i="5"/>
  <c r="K14" i="5"/>
  <c r="M14" i="5"/>
  <c r="L9" i="6" s="1"/>
  <c r="L14" i="5"/>
  <c r="K9" i="6" s="1"/>
  <c r="J14" i="5"/>
  <c r="N14" i="5"/>
  <c r="I13" i="2" l="1"/>
  <c r="D9" i="1"/>
  <c r="J13" i="2"/>
  <c r="D10" i="1"/>
  <c r="J10" i="8"/>
  <c r="J12" i="9"/>
  <c r="J35" i="9"/>
  <c r="M73" i="5"/>
  <c r="N73" i="5" s="1"/>
  <c r="N42" i="5"/>
  <c r="M9" i="6"/>
  <c r="K42" i="5"/>
  <c r="J9" i="6"/>
  <c r="L76" i="5"/>
  <c r="M76" i="5" s="1"/>
  <c r="N76" i="5" s="1"/>
  <c r="J42" i="5"/>
  <c r="H14" i="1" s="1"/>
  <c r="I9" i="6"/>
  <c r="N69" i="5"/>
  <c r="M18" i="6" s="1"/>
  <c r="M69" i="5"/>
  <c r="L18" i="6" s="1"/>
  <c r="J80" i="5"/>
  <c r="I11" i="7" s="1"/>
  <c r="J86" i="5"/>
  <c r="K74" i="5"/>
  <c r="L69" i="5"/>
  <c r="K18" i="6" s="1"/>
  <c r="L74" i="5"/>
  <c r="M74" i="5" s="1"/>
  <c r="N74" i="5" s="1"/>
  <c r="L75" i="5"/>
  <c r="M75" i="5" s="1"/>
  <c r="N75" i="5" s="1"/>
  <c r="J21" i="5"/>
  <c r="J28" i="5" s="1"/>
  <c r="J16" i="5"/>
  <c r="J72" i="5"/>
  <c r="J69" i="5"/>
  <c r="I18" i="6" s="1"/>
  <c r="N25" i="5"/>
  <c r="J25" i="5"/>
  <c r="K25" i="5"/>
  <c r="K16" i="5"/>
  <c r="L21" i="5"/>
  <c r="L28" i="5" s="1"/>
  <c r="L113" i="5" s="1"/>
  <c r="K36" i="7" s="1"/>
  <c r="L42" i="5"/>
  <c r="M25" i="5"/>
  <c r="M42" i="5"/>
  <c r="M16" i="5"/>
  <c r="K21" i="5"/>
  <c r="N21" i="5"/>
  <c r="N28" i="5" s="1"/>
  <c r="N113" i="5" s="1"/>
  <c r="M36" i="7" s="1"/>
  <c r="N16" i="5"/>
  <c r="L25" i="5"/>
  <c r="L16" i="5"/>
  <c r="M21" i="5"/>
  <c r="H13" i="2" l="1"/>
  <c r="D8" i="1"/>
  <c r="K13" i="2"/>
  <c r="D11" i="1"/>
  <c r="N50" i="5"/>
  <c r="M14" i="6" s="1"/>
  <c r="H26" i="1"/>
  <c r="M50" i="5"/>
  <c r="L14" i="6" s="1"/>
  <c r="H23" i="1"/>
  <c r="G13" i="2"/>
  <c r="D7" i="1"/>
  <c r="K50" i="5"/>
  <c r="J14" i="6" s="1"/>
  <c r="H17" i="1"/>
  <c r="L50" i="5"/>
  <c r="K14" i="6" s="1"/>
  <c r="H20" i="1"/>
  <c r="I28" i="10"/>
  <c r="I29" i="10" s="1"/>
  <c r="J113" i="5"/>
  <c r="I36" i="7" s="1"/>
  <c r="I17" i="8" s="1"/>
  <c r="L10" i="8"/>
  <c r="L12" i="9"/>
  <c r="L35" i="9"/>
  <c r="M10" i="8"/>
  <c r="M12" i="9"/>
  <c r="M35" i="9"/>
  <c r="I10" i="8"/>
  <c r="I12" i="9"/>
  <c r="I35" i="9"/>
  <c r="K10" i="8"/>
  <c r="K12" i="9"/>
  <c r="K35" i="9"/>
  <c r="J50" i="5"/>
  <c r="I14" i="6" s="1"/>
  <c r="K26" i="5"/>
  <c r="K29" i="5" s="1"/>
  <c r="J16" i="7" s="1"/>
  <c r="K17" i="5"/>
  <c r="K109" i="5"/>
  <c r="J17" i="7" s="1"/>
  <c r="L17" i="5"/>
  <c r="L109" i="5"/>
  <c r="K17" i="7" s="1"/>
  <c r="K28" i="10" s="1"/>
  <c r="K29" i="10" s="1"/>
  <c r="N17" i="5"/>
  <c r="N109" i="5"/>
  <c r="M17" i="7" s="1"/>
  <c r="J17" i="5"/>
  <c r="J109" i="5"/>
  <c r="I17" i="7" s="1"/>
  <c r="M17" i="5"/>
  <c r="M109" i="5"/>
  <c r="L17" i="7" s="1"/>
  <c r="L28" i="10" s="1"/>
  <c r="L29" i="10" s="1"/>
  <c r="J26" i="5"/>
  <c r="I10" i="6" s="1"/>
  <c r="E7" i="1" s="1"/>
  <c r="K28" i="5"/>
  <c r="K113" i="5" s="1"/>
  <c r="J36" i="7" s="1"/>
  <c r="K34" i="10" s="1"/>
  <c r="K35" i="10" s="1"/>
  <c r="L26" i="5"/>
  <c r="K80" i="5"/>
  <c r="K72" i="5"/>
  <c r="J77" i="5"/>
  <c r="J81" i="5" s="1"/>
  <c r="I12" i="7" s="1"/>
  <c r="I13" i="7" s="1"/>
  <c r="N26" i="5"/>
  <c r="M26" i="5"/>
  <c r="M28" i="5"/>
  <c r="M113" i="5" s="1"/>
  <c r="L36" i="7" s="1"/>
  <c r="L17" i="8" s="1"/>
  <c r="M28" i="10" l="1"/>
  <c r="M29" i="10" s="1"/>
  <c r="J28" i="10"/>
  <c r="J29" i="10" s="1"/>
  <c r="I34" i="10"/>
  <c r="I35" i="10" s="1"/>
  <c r="M34" i="10"/>
  <c r="M35" i="10" s="1"/>
  <c r="L34" i="10"/>
  <c r="L35" i="10" s="1"/>
  <c r="J34" i="10"/>
  <c r="J35" i="10" s="1"/>
  <c r="J17" i="8"/>
  <c r="I12" i="6"/>
  <c r="F7" i="1" s="1"/>
  <c r="J29" i="5"/>
  <c r="I16" i="7" s="1"/>
  <c r="J15" i="8" s="1"/>
  <c r="J10" i="6"/>
  <c r="E8" i="1" s="1"/>
  <c r="L16" i="8"/>
  <c r="K17" i="8"/>
  <c r="K16" i="8"/>
  <c r="J89" i="5"/>
  <c r="J16" i="8"/>
  <c r="I16" i="8"/>
  <c r="J82" i="5"/>
  <c r="L80" i="5"/>
  <c r="K11" i="7" s="1"/>
  <c r="J11" i="7"/>
  <c r="M16" i="8"/>
  <c r="M17" i="8"/>
  <c r="J90" i="5"/>
  <c r="L29" i="5"/>
  <c r="K16" i="7" s="1"/>
  <c r="K15" i="8" s="1"/>
  <c r="K10" i="6"/>
  <c r="E9" i="1" s="1"/>
  <c r="M29" i="5"/>
  <c r="L16" i="7" s="1"/>
  <c r="L10" i="6"/>
  <c r="E10" i="1" s="1"/>
  <c r="N29" i="5"/>
  <c r="M16" i="7" s="1"/>
  <c r="M10" i="6"/>
  <c r="E11" i="1" s="1"/>
  <c r="K77" i="5"/>
  <c r="K81" i="5" s="1"/>
  <c r="L72" i="5"/>
  <c r="I16" i="6" l="1"/>
  <c r="I7" i="1" s="1"/>
  <c r="K12" i="6"/>
  <c r="F9" i="1" s="1"/>
  <c r="K31" i="10"/>
  <c r="K32" i="10" s="1"/>
  <c r="K37" i="10" s="1"/>
  <c r="J12" i="6"/>
  <c r="F8" i="1" s="1"/>
  <c r="J31" i="10"/>
  <c r="J32" i="10" s="1"/>
  <c r="J37" i="10" s="1"/>
  <c r="I31" i="10"/>
  <c r="I32" i="10" s="1"/>
  <c r="I37" i="10" s="1"/>
  <c r="L12" i="6"/>
  <c r="F10" i="1" s="1"/>
  <c r="L31" i="10"/>
  <c r="L32" i="10" s="1"/>
  <c r="L37" i="10" s="1"/>
  <c r="I20" i="6"/>
  <c r="I10" i="10"/>
  <c r="G41" i="2" s="1"/>
  <c r="G17" i="2"/>
  <c r="G15" i="2"/>
  <c r="I9" i="10"/>
  <c r="M12" i="6"/>
  <c r="F11" i="1" s="1"/>
  <c r="M31" i="10"/>
  <c r="M32" i="10" s="1"/>
  <c r="M37" i="10" s="1"/>
  <c r="K38" i="9"/>
  <c r="K16" i="9"/>
  <c r="J16" i="9"/>
  <c r="J38" i="9"/>
  <c r="I15" i="8"/>
  <c r="L15" i="8"/>
  <c r="K82" i="5"/>
  <c r="J12" i="7"/>
  <c r="J13" i="7"/>
  <c r="M80" i="5"/>
  <c r="L11" i="7" s="1"/>
  <c r="J91" i="5"/>
  <c r="M15" i="8"/>
  <c r="N80" i="5"/>
  <c r="M11" i="7" s="1"/>
  <c r="M72" i="5"/>
  <c r="L77" i="5"/>
  <c r="L81" i="5" s="1"/>
  <c r="K7" i="1" l="1"/>
  <c r="G40" i="2"/>
  <c r="M16" i="6"/>
  <c r="I11" i="1" s="1"/>
  <c r="K15" i="2"/>
  <c r="M9" i="10"/>
  <c r="L16" i="6"/>
  <c r="I10" i="1" s="1"/>
  <c r="J15" i="2"/>
  <c r="L9" i="10"/>
  <c r="J16" i="6"/>
  <c r="I8" i="1" s="1"/>
  <c r="H15" i="2"/>
  <c r="J9" i="10"/>
  <c r="K16" i="6"/>
  <c r="I9" i="1" s="1"/>
  <c r="I15" i="2"/>
  <c r="K9" i="10"/>
  <c r="M38" i="9"/>
  <c r="M16" i="9"/>
  <c r="L38" i="9"/>
  <c r="L16" i="9"/>
  <c r="I38" i="9"/>
  <c r="I16" i="9"/>
  <c r="L82" i="5"/>
  <c r="K12" i="7"/>
  <c r="K13" i="7" s="1"/>
  <c r="J94" i="5"/>
  <c r="H142" i="5" s="1"/>
  <c r="J93" i="5"/>
  <c r="N72" i="5"/>
  <c r="N77" i="5" s="1"/>
  <c r="N81" i="5" s="1"/>
  <c r="M77" i="5"/>
  <c r="M81" i="5" s="1"/>
  <c r="J40" i="2" l="1"/>
  <c r="K10" i="1"/>
  <c r="H40" i="2"/>
  <c r="K8" i="1"/>
  <c r="K40" i="2"/>
  <c r="K11" i="1"/>
  <c r="I40" i="2"/>
  <c r="K9" i="1"/>
  <c r="K20" i="6"/>
  <c r="K10" i="10"/>
  <c r="I41" i="2" s="1"/>
  <c r="I17" i="2"/>
  <c r="J20" i="6"/>
  <c r="J10" i="10"/>
  <c r="H41" i="2" s="1"/>
  <c r="H17" i="2"/>
  <c r="L20" i="6"/>
  <c r="L10" i="10"/>
  <c r="J41" i="2" s="1"/>
  <c r="J17" i="2"/>
  <c r="M20" i="6"/>
  <c r="M10" i="10"/>
  <c r="K41" i="2" s="1"/>
  <c r="K17" i="2"/>
  <c r="H139" i="5"/>
  <c r="G7" i="2"/>
  <c r="H144" i="5"/>
  <c r="I139" i="5" s="1"/>
  <c r="M82" i="5"/>
  <c r="L12" i="7"/>
  <c r="L13" i="7" s="1"/>
  <c r="N82" i="5"/>
  <c r="M12" i="7"/>
  <c r="M13" i="7" s="1"/>
  <c r="J95" i="5"/>
  <c r="I30" i="8"/>
  <c r="J24" i="7"/>
  <c r="K24" i="7"/>
  <c r="L24" i="7"/>
  <c r="M24" i="7"/>
  <c r="I24" i="7"/>
  <c r="J100" i="5"/>
  <c r="I31" i="8"/>
  <c r="I142" i="5" l="1"/>
  <c r="I144" i="5" s="1"/>
  <c r="H136" i="5"/>
  <c r="I57" i="9" s="1"/>
  <c r="J101" i="5"/>
  <c r="J102" i="5" s="1"/>
  <c r="J24" i="9" l="1"/>
  <c r="L24" i="9"/>
  <c r="K24" i="9"/>
  <c r="I24" i="9"/>
  <c r="M24" i="9"/>
  <c r="J104" i="5"/>
  <c r="I33" i="8"/>
  <c r="I36" i="8" s="1"/>
  <c r="G35" i="2" s="1"/>
  <c r="I22" i="6"/>
  <c r="J129" i="5" l="1"/>
  <c r="J132" i="5" s="1"/>
  <c r="I14" i="9" s="1"/>
  <c r="I25" i="10"/>
  <c r="G51" i="2" s="1"/>
  <c r="I11" i="8"/>
  <c r="I24" i="6"/>
  <c r="G18" i="2" s="1"/>
  <c r="I30" i="7"/>
  <c r="J105" i="5"/>
  <c r="I35" i="7" s="1"/>
  <c r="K99" i="5"/>
  <c r="I32" i="7" l="1"/>
  <c r="G28" i="2" s="1"/>
  <c r="I42" i="9"/>
  <c r="K101" i="5"/>
  <c r="K102" i="5" s="1"/>
  <c r="J117" i="5"/>
  <c r="J119" i="5" s="1"/>
  <c r="I37" i="7" l="1"/>
  <c r="I26" i="6"/>
  <c r="K104" i="5"/>
  <c r="J33" i="8"/>
  <c r="J22" i="6"/>
  <c r="K129" i="5" l="1"/>
  <c r="K132" i="5" s="1"/>
  <c r="J14" i="9" s="1"/>
  <c r="J25" i="10"/>
  <c r="H51" i="2" s="1"/>
  <c r="J11" i="8"/>
  <c r="J24" i="6"/>
  <c r="H18" i="2" s="1"/>
  <c r="J30" i="7"/>
  <c r="L99" i="5"/>
  <c r="K105" i="5"/>
  <c r="J35" i="7" s="1"/>
  <c r="I12" i="8"/>
  <c r="I28" i="6"/>
  <c r="J7" i="1" s="1"/>
  <c r="I11" i="10" l="1"/>
  <c r="G19" i="2"/>
  <c r="I9" i="9"/>
  <c r="I20" i="9" s="1"/>
  <c r="I32" i="9"/>
  <c r="I44" i="9" s="1"/>
  <c r="I46" i="9" s="1"/>
  <c r="I50" i="9" s="1"/>
  <c r="J32" i="7"/>
  <c r="H28" i="2" s="1"/>
  <c r="J42" i="9"/>
  <c r="K117" i="5"/>
  <c r="K119" i="5" s="1"/>
  <c r="L101" i="5"/>
  <c r="L102" i="5" s="1"/>
  <c r="I8" i="8"/>
  <c r="I13" i="8" s="1"/>
  <c r="I18" i="8" s="1"/>
  <c r="I21" i="8" s="1"/>
  <c r="J123" i="5"/>
  <c r="J125" i="5" s="1"/>
  <c r="J19" i="8"/>
  <c r="I38" i="8" l="1"/>
  <c r="I40" i="8" s="1"/>
  <c r="G36" i="2" s="1"/>
  <c r="G33" i="2"/>
  <c r="I22" i="9"/>
  <c r="I26" i="9" s="1"/>
  <c r="G37" i="2"/>
  <c r="L7" i="1"/>
  <c r="G42" i="2"/>
  <c r="L104" i="5"/>
  <c r="L105" i="5" s="1"/>
  <c r="K35" i="7" s="1"/>
  <c r="J39" i="8"/>
  <c r="I18" i="7"/>
  <c r="K33" i="8"/>
  <c r="K22" i="6"/>
  <c r="I30" i="6"/>
  <c r="I38" i="7"/>
  <c r="I39" i="7" s="1"/>
  <c r="J26" i="6"/>
  <c r="J37" i="7"/>
  <c r="I41" i="7" l="1"/>
  <c r="G29" i="2"/>
  <c r="L129" i="5"/>
  <c r="L132" i="5" s="1"/>
  <c r="K14" i="9" s="1"/>
  <c r="K25" i="10"/>
  <c r="I51" i="2" s="1"/>
  <c r="I19" i="7"/>
  <c r="G23" i="2" s="1"/>
  <c r="I19" i="10"/>
  <c r="G50" i="2" s="1"/>
  <c r="M99" i="5"/>
  <c r="M101" i="5" s="1"/>
  <c r="M102" i="5" s="1"/>
  <c r="L22" i="6" s="1"/>
  <c r="K30" i="7"/>
  <c r="J12" i="8"/>
  <c r="K19" i="8" s="1"/>
  <c r="J28" i="6"/>
  <c r="J8" i="1" s="1"/>
  <c r="K11" i="8"/>
  <c r="K24" i="6"/>
  <c r="I18" i="2" s="1"/>
  <c r="J32" i="8"/>
  <c r="J36" i="8" s="1"/>
  <c r="H35" i="2" s="1"/>
  <c r="I32" i="6"/>
  <c r="I33" i="6" s="1"/>
  <c r="J11" i="10" l="1"/>
  <c r="H19" i="2"/>
  <c r="M129" i="5"/>
  <c r="M132" i="5" s="1"/>
  <c r="L14" i="9" s="1"/>
  <c r="L25" i="10"/>
  <c r="J51" i="2" s="1"/>
  <c r="I21" i="7"/>
  <c r="I18" i="10"/>
  <c r="G49" i="2" s="1"/>
  <c r="I17" i="10"/>
  <c r="G48" i="2" s="1"/>
  <c r="J9" i="9"/>
  <c r="J20" i="9" s="1"/>
  <c r="J32" i="9"/>
  <c r="J44" i="9" s="1"/>
  <c r="J46" i="9" s="1"/>
  <c r="J50" i="9" s="1"/>
  <c r="K32" i="7"/>
  <c r="I28" i="2" s="1"/>
  <c r="K42" i="9"/>
  <c r="L33" i="8"/>
  <c r="M104" i="5"/>
  <c r="L30" i="7" s="1"/>
  <c r="K123" i="5"/>
  <c r="K125" i="5" s="1"/>
  <c r="J8" i="8"/>
  <c r="J13" i="8" s="1"/>
  <c r="J18" i="8" s="1"/>
  <c r="J21" i="8" s="1"/>
  <c r="L11" i="8"/>
  <c r="L24" i="6"/>
  <c r="J18" i="2" s="1"/>
  <c r="I25" i="7"/>
  <c r="I26" i="7" s="1"/>
  <c r="G27" i="2" s="1"/>
  <c r="L117" i="5"/>
  <c r="L119" i="5" s="1"/>
  <c r="J22" i="9" l="1"/>
  <c r="J26" i="9" s="1"/>
  <c r="H37" i="2"/>
  <c r="G25" i="2"/>
  <c r="G24" i="2"/>
  <c r="J38" i="8"/>
  <c r="J40" i="8" s="1"/>
  <c r="H36" i="2" s="1"/>
  <c r="H33" i="2"/>
  <c r="L8" i="1"/>
  <c r="H42" i="2"/>
  <c r="I24" i="10"/>
  <c r="G47" i="2" s="1"/>
  <c r="I14" i="10"/>
  <c r="G44" i="2" s="1"/>
  <c r="I43" i="7"/>
  <c r="I23" i="10"/>
  <c r="G46" i="2" s="1"/>
  <c r="I22" i="10"/>
  <c r="G45" i="2" s="1"/>
  <c r="I13" i="10"/>
  <c r="L32" i="7"/>
  <c r="J28" i="2" s="1"/>
  <c r="L42" i="9"/>
  <c r="M105" i="5"/>
  <c r="L35" i="7" s="1"/>
  <c r="N99" i="5"/>
  <c r="N101" i="5" s="1"/>
  <c r="N102" i="5" s="1"/>
  <c r="M117" i="5"/>
  <c r="M119" i="5" s="1"/>
  <c r="K26" i="6"/>
  <c r="K37" i="7"/>
  <c r="K39" i="8"/>
  <c r="J18" i="7"/>
  <c r="J30" i="6"/>
  <c r="J38" i="7"/>
  <c r="J39" i="7" s="1"/>
  <c r="I46" i="7" l="1"/>
  <c r="G30" i="2"/>
  <c r="J41" i="7"/>
  <c r="H29" i="2"/>
  <c r="M7" i="1"/>
  <c r="G43" i="2"/>
  <c r="J19" i="7"/>
  <c r="H23" i="2" s="1"/>
  <c r="J19" i="10"/>
  <c r="H50" i="2" s="1"/>
  <c r="N103" i="5"/>
  <c r="N104" i="5" s="1"/>
  <c r="K12" i="8"/>
  <c r="L19" i="8" s="1"/>
  <c r="K28" i="6"/>
  <c r="J9" i="1" s="1"/>
  <c r="K32" i="8"/>
  <c r="K36" i="8" s="1"/>
  <c r="I35" i="2" s="1"/>
  <c r="J32" i="6"/>
  <c r="J33" i="6" s="1"/>
  <c r="M33" i="8"/>
  <c r="L26" i="6"/>
  <c r="L37" i="7"/>
  <c r="M22" i="6" l="1"/>
  <c r="M34" i="8"/>
  <c r="K11" i="10"/>
  <c r="I19" i="2"/>
  <c r="J21" i="7"/>
  <c r="J17" i="10"/>
  <c r="H48" i="2" s="1"/>
  <c r="J18" i="10"/>
  <c r="H49" i="2" s="1"/>
  <c r="K9" i="9"/>
  <c r="K20" i="9" s="1"/>
  <c r="K32" i="9"/>
  <c r="K44" i="9" s="1"/>
  <c r="K46" i="9" s="1"/>
  <c r="K50" i="9" s="1"/>
  <c r="L123" i="5"/>
  <c r="L125" i="5" s="1"/>
  <c r="K8" i="8"/>
  <c r="K13" i="8" s="1"/>
  <c r="K18" i="8" s="1"/>
  <c r="K21" i="8" s="1"/>
  <c r="L12" i="8"/>
  <c r="M19" i="8" s="1"/>
  <c r="L28" i="6"/>
  <c r="J10" i="1" s="1"/>
  <c r="M11" i="8"/>
  <c r="M24" i="6"/>
  <c r="K18" i="2" s="1"/>
  <c r="N105" i="5"/>
  <c r="M35" i="7" s="1"/>
  <c r="M30" i="7"/>
  <c r="J25" i="7"/>
  <c r="J26" i="7" s="1"/>
  <c r="H27" i="2" s="1"/>
  <c r="K38" i="8" l="1"/>
  <c r="K40" i="8" s="1"/>
  <c r="I36" i="2" s="1"/>
  <c r="I33" i="2"/>
  <c r="K22" i="9"/>
  <c r="K26" i="9" s="1"/>
  <c r="I37" i="2"/>
  <c r="H24" i="2"/>
  <c r="H25" i="2"/>
  <c r="L9" i="1"/>
  <c r="I42" i="2"/>
  <c r="L11" i="10"/>
  <c r="J19" i="2"/>
  <c r="J24" i="10"/>
  <c r="H47" i="2" s="1"/>
  <c r="J14" i="10"/>
  <c r="H44" i="2" s="1"/>
  <c r="J43" i="7"/>
  <c r="J23" i="10"/>
  <c r="H46" i="2" s="1"/>
  <c r="J22" i="10"/>
  <c r="H45" i="2" s="1"/>
  <c r="J13" i="10"/>
  <c r="N129" i="5"/>
  <c r="N132" i="5" s="1"/>
  <c r="M14" i="9" s="1"/>
  <c r="M25" i="10"/>
  <c r="K51" i="2" s="1"/>
  <c r="L9" i="9"/>
  <c r="L20" i="9" s="1"/>
  <c r="L32" i="9"/>
  <c r="L44" i="9" s="1"/>
  <c r="L46" i="9" s="1"/>
  <c r="L50" i="9" s="1"/>
  <c r="M32" i="7"/>
  <c r="K28" i="2" s="1"/>
  <c r="M42" i="9"/>
  <c r="L8" i="8"/>
  <c r="L13" i="8" s="1"/>
  <c r="L18" i="8" s="1"/>
  <c r="L21" i="8" s="1"/>
  <c r="J33" i="2" s="1"/>
  <c r="M123" i="5"/>
  <c r="M125" i="5" s="1"/>
  <c r="K30" i="6"/>
  <c r="K38" i="7"/>
  <c r="K39" i="7" s="1"/>
  <c r="N117" i="5"/>
  <c r="N119" i="5" s="1"/>
  <c r="L39" i="8"/>
  <c r="K18" i="7"/>
  <c r="M8" i="1" l="1"/>
  <c r="H43" i="2"/>
  <c r="L10" i="1"/>
  <c r="J42" i="2"/>
  <c r="L22" i="9"/>
  <c r="L26" i="9" s="1"/>
  <c r="J37" i="2"/>
  <c r="J46" i="7"/>
  <c r="H30" i="2"/>
  <c r="K41" i="7"/>
  <c r="I29" i="2"/>
  <c r="K19" i="7"/>
  <c r="I23" i="2" s="1"/>
  <c r="K19" i="10"/>
  <c r="I50" i="2" s="1"/>
  <c r="L32" i="8"/>
  <c r="L36" i="8" s="1"/>
  <c r="K32" i="6"/>
  <c r="K33" i="6" s="1"/>
  <c r="L30" i="6"/>
  <c r="L38" i="7"/>
  <c r="L39" i="7" s="1"/>
  <c r="M26" i="6"/>
  <c r="M37" i="7"/>
  <c r="L38" i="8" l="1"/>
  <c r="L40" i="8" s="1"/>
  <c r="J36" i="2" s="1"/>
  <c r="J35" i="2"/>
  <c r="L41" i="7"/>
  <c r="J29" i="2"/>
  <c r="K21" i="7"/>
  <c r="K17" i="10"/>
  <c r="I48" i="2" s="1"/>
  <c r="K18" i="10"/>
  <c r="I49" i="2" s="1"/>
  <c r="M12" i="8"/>
  <c r="M28" i="6"/>
  <c r="J11" i="1" s="1"/>
  <c r="M32" i="8"/>
  <c r="M36" i="8" s="1"/>
  <c r="K35" i="2" s="1"/>
  <c r="L32" i="6"/>
  <c r="L33" i="6" s="1"/>
  <c r="K25" i="7"/>
  <c r="K26" i="7" s="1"/>
  <c r="I27" i="2" s="1"/>
  <c r="L18" i="7" l="1"/>
  <c r="M39" i="8"/>
  <c r="I24" i="2"/>
  <c r="I25" i="2"/>
  <c r="K43" i="7"/>
  <c r="K23" i="10"/>
  <c r="I46" i="2" s="1"/>
  <c r="K22" i="10"/>
  <c r="I45" i="2" s="1"/>
  <c r="K13" i="10"/>
  <c r="M11" i="10"/>
  <c r="K19" i="2"/>
  <c r="L19" i="7"/>
  <c r="J23" i="2" s="1"/>
  <c r="L19" i="10"/>
  <c r="J50" i="2" s="1"/>
  <c r="K24" i="10"/>
  <c r="I47" i="2" s="1"/>
  <c r="K14" i="10"/>
  <c r="I44" i="2" s="1"/>
  <c r="M9" i="9"/>
  <c r="M20" i="9" s="1"/>
  <c r="K37" i="2" s="1"/>
  <c r="M32" i="9"/>
  <c r="M44" i="9" s="1"/>
  <c r="M8" i="8"/>
  <c r="M13" i="8" s="1"/>
  <c r="M18" i="8" s="1"/>
  <c r="M21" i="8" s="1"/>
  <c r="N123" i="5"/>
  <c r="N125" i="5" s="1"/>
  <c r="L25" i="7"/>
  <c r="L26" i="7" s="1"/>
  <c r="J27" i="2" s="1"/>
  <c r="I43" i="2" l="1"/>
  <c r="M9" i="1"/>
  <c r="K46" i="7"/>
  <c r="I30" i="2"/>
  <c r="L11" i="1"/>
  <c r="K42" i="2"/>
  <c r="M38" i="8"/>
  <c r="M40" i="8" s="1"/>
  <c r="K33" i="2"/>
  <c r="L21" i="7"/>
  <c r="L17" i="10"/>
  <c r="J48" i="2" s="1"/>
  <c r="L18" i="10"/>
  <c r="J49" i="2" s="1"/>
  <c r="L43" i="7"/>
  <c r="L22" i="10"/>
  <c r="J45" i="2" s="1"/>
  <c r="L13" i="10"/>
  <c r="M45" i="9"/>
  <c r="M46" i="9" s="1"/>
  <c r="M50" i="9" s="1"/>
  <c r="I52" i="9" s="1"/>
  <c r="G9" i="2" s="1"/>
  <c r="M21" i="9"/>
  <c r="M22" i="9" s="1"/>
  <c r="M26" i="9" s="1"/>
  <c r="I28" i="9" s="1"/>
  <c r="G8" i="2" s="1"/>
  <c r="M30" i="6"/>
  <c r="M32" i="6" s="1"/>
  <c r="M33" i="6" s="1"/>
  <c r="M25" i="7" s="1"/>
  <c r="M26" i="7" s="1"/>
  <c r="K27" i="2" s="1"/>
  <c r="M38" i="7"/>
  <c r="M39" i="7" s="1"/>
  <c r="M18" i="7" l="1"/>
  <c r="M19" i="7" s="1"/>
  <c r="K23" i="2" s="1"/>
  <c r="K36" i="2"/>
  <c r="M10" i="1"/>
  <c r="J43" i="2"/>
  <c r="L46" i="7"/>
  <c r="J30" i="2"/>
  <c r="J24" i="2"/>
  <c r="J25" i="2"/>
  <c r="M41" i="7"/>
  <c r="M43" i="7" s="1"/>
  <c r="K29" i="2"/>
  <c r="M22" i="10"/>
  <c r="K45" i="2" s="1"/>
  <c r="M13" i="10"/>
  <c r="L24" i="10"/>
  <c r="J47" i="2" s="1"/>
  <c r="L14" i="10"/>
  <c r="J44" i="2" s="1"/>
  <c r="M19" i="10"/>
  <c r="K50" i="2" s="1"/>
  <c r="L23" i="10"/>
  <c r="J46" i="2" s="1"/>
  <c r="M21" i="7"/>
  <c r="M18" i="10"/>
  <c r="K49" i="2" s="1"/>
  <c r="M46" i="7" l="1"/>
  <c r="K30" i="2"/>
  <c r="M17" i="10"/>
  <c r="K48" i="2" s="1"/>
  <c r="M11" i="1"/>
  <c r="K43" i="2"/>
  <c r="K24" i="2"/>
  <c r="K25" i="2"/>
  <c r="M24" i="10"/>
  <c r="K47" i="2" s="1"/>
  <c r="M14" i="10"/>
  <c r="K44" i="2" s="1"/>
  <c r="M23" i="10"/>
  <c r="K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<sst xmlns="http://schemas.openxmlformats.org/spreadsheetml/2006/main" count="564" uniqueCount="312">
  <si>
    <t>Sip &amp; Savor Beverage Co.</t>
  </si>
  <si>
    <t>Company  Name :</t>
  </si>
  <si>
    <t>Sector   :</t>
  </si>
  <si>
    <t>FMCG</t>
  </si>
  <si>
    <t>Equity Invesment</t>
  </si>
  <si>
    <t>Enterprise value</t>
  </si>
  <si>
    <t>Equity valuation</t>
  </si>
  <si>
    <t>Income Statement</t>
  </si>
  <si>
    <t>Revenue</t>
  </si>
  <si>
    <t>Cost of Sales</t>
  </si>
  <si>
    <t>Gross Profit</t>
  </si>
  <si>
    <t>Operating Expense</t>
  </si>
  <si>
    <t>Operating Income</t>
  </si>
  <si>
    <t>Profit before tax</t>
  </si>
  <si>
    <t>Net Profit</t>
  </si>
  <si>
    <t>Balance Sheet</t>
  </si>
  <si>
    <t>Non current Asset</t>
  </si>
  <si>
    <t>Current Asset</t>
  </si>
  <si>
    <t>Total Asset</t>
  </si>
  <si>
    <t>Total Net Asset</t>
  </si>
  <si>
    <t>Total Equity</t>
  </si>
  <si>
    <t>Non current Liabilities</t>
  </si>
  <si>
    <t>Current Liabilities</t>
  </si>
  <si>
    <t>Total Equity &amp; Liabilities</t>
  </si>
  <si>
    <t>Cashflow Statement</t>
  </si>
  <si>
    <t>Cashflow from Operating activities</t>
  </si>
  <si>
    <t>Cashflow from Investing activities</t>
  </si>
  <si>
    <t>Cashflow from Financing activities</t>
  </si>
  <si>
    <t>Net Cashflow</t>
  </si>
  <si>
    <t>Free Cashflow to Firm</t>
  </si>
  <si>
    <t>Financial ratio</t>
  </si>
  <si>
    <t>Financial Ratios</t>
  </si>
  <si>
    <t>Gross Profit margin</t>
  </si>
  <si>
    <t>Operating Profit margin</t>
  </si>
  <si>
    <t>Net Profit margin</t>
  </si>
  <si>
    <t>Return on Equity</t>
  </si>
  <si>
    <t>Return on Asset</t>
  </si>
  <si>
    <t>Debt to Equity ratio</t>
  </si>
  <si>
    <t>Equity ratio</t>
  </si>
  <si>
    <t>Debt ratio</t>
  </si>
  <si>
    <t>Current ratio</t>
  </si>
  <si>
    <t>Quick ratio</t>
  </si>
  <si>
    <t>Cash ratio</t>
  </si>
  <si>
    <t>Scenario:</t>
  </si>
  <si>
    <t>Last Updated:</t>
  </si>
  <si>
    <t>Table of Content</t>
  </si>
  <si>
    <t>S/N</t>
  </si>
  <si>
    <t>Details</t>
  </si>
  <si>
    <t>Dashboard</t>
  </si>
  <si>
    <t>Input data</t>
  </si>
  <si>
    <t>workings</t>
  </si>
  <si>
    <t>Cashflows</t>
  </si>
  <si>
    <t>Data1</t>
  </si>
  <si>
    <t>Valuation</t>
  </si>
  <si>
    <t>Input data (Assumption)</t>
  </si>
  <si>
    <t>Days of week</t>
  </si>
  <si>
    <t>weeks</t>
  </si>
  <si>
    <t>Month</t>
  </si>
  <si>
    <t>Quarter</t>
  </si>
  <si>
    <t xml:space="preserve">Inflation </t>
  </si>
  <si>
    <t>Credit Sales</t>
  </si>
  <si>
    <t>Inventory</t>
  </si>
  <si>
    <t>Credit Purchase</t>
  </si>
  <si>
    <t>Tax rate</t>
  </si>
  <si>
    <t>Long term growth rate</t>
  </si>
  <si>
    <t>Best case</t>
  </si>
  <si>
    <t>Base case</t>
  </si>
  <si>
    <t>Worst case</t>
  </si>
  <si>
    <t>Tropical Cola</t>
  </si>
  <si>
    <t>Unit/volume</t>
  </si>
  <si>
    <t>Unit price</t>
  </si>
  <si>
    <t>Unit per pack</t>
  </si>
  <si>
    <t>Citrus Burst</t>
  </si>
  <si>
    <t>Lemon Bliss</t>
  </si>
  <si>
    <t>Sparkling water</t>
  </si>
  <si>
    <t>Margin</t>
  </si>
  <si>
    <t>Direct Material</t>
  </si>
  <si>
    <t>Tropical cola fruit</t>
  </si>
  <si>
    <t>Sugar and concentrate</t>
  </si>
  <si>
    <t>Other addictives</t>
  </si>
  <si>
    <t>Water</t>
  </si>
  <si>
    <t>Packaging Material</t>
  </si>
  <si>
    <t>Direct Labour</t>
  </si>
  <si>
    <t>Supervisor</t>
  </si>
  <si>
    <t>Labourers</t>
  </si>
  <si>
    <t>Overheads</t>
  </si>
  <si>
    <t>NGN</t>
  </si>
  <si>
    <t>units</t>
  </si>
  <si>
    <t>Selling, General &amp; Admin Expenses</t>
  </si>
  <si>
    <t>Revenue Assumption</t>
  </si>
  <si>
    <t>Staff cost</t>
  </si>
  <si>
    <t>Electricity</t>
  </si>
  <si>
    <t>Travel Expense</t>
  </si>
  <si>
    <t>Marketing &amp; Promotion</t>
  </si>
  <si>
    <t>Rent</t>
  </si>
  <si>
    <t>Research &amp; development</t>
  </si>
  <si>
    <t>Fuel &amp; Diesel</t>
  </si>
  <si>
    <t>Legal Fees</t>
  </si>
  <si>
    <t>Consulting</t>
  </si>
  <si>
    <t>Others</t>
  </si>
  <si>
    <t>Staff Cost</t>
  </si>
  <si>
    <t>General Manager</t>
  </si>
  <si>
    <t>Finance Manager</t>
  </si>
  <si>
    <t>Operation Manager</t>
  </si>
  <si>
    <t>Mid level Manager</t>
  </si>
  <si>
    <t>Supervisors</t>
  </si>
  <si>
    <t>Other Employees</t>
  </si>
  <si>
    <t>%</t>
  </si>
  <si>
    <t>per month</t>
  </si>
  <si>
    <t>per annum</t>
  </si>
  <si>
    <t>Non Current Asset</t>
  </si>
  <si>
    <t>Equipment</t>
  </si>
  <si>
    <t>unit</t>
  </si>
  <si>
    <t>cost</t>
  </si>
  <si>
    <t>USL</t>
  </si>
  <si>
    <t>Scrap value</t>
  </si>
  <si>
    <t>Acquisition</t>
  </si>
  <si>
    <t>Furniture &amp; Fittings</t>
  </si>
  <si>
    <t>Machine</t>
  </si>
  <si>
    <t>Delivery Truck</t>
  </si>
  <si>
    <t>Land &amp; Building</t>
  </si>
  <si>
    <t>% Building</t>
  </si>
  <si>
    <t>% Land</t>
  </si>
  <si>
    <t>Cash Sales</t>
  </si>
  <si>
    <t>Direct labour</t>
  </si>
  <si>
    <t>Closing Inventory</t>
  </si>
  <si>
    <t>Selling,General &amp; Admin Expense</t>
  </si>
  <si>
    <t>per quarter</t>
  </si>
  <si>
    <t>Non-Current Asset</t>
  </si>
  <si>
    <t>Building</t>
  </si>
  <si>
    <t>Land</t>
  </si>
  <si>
    <t>Salvage value</t>
  </si>
  <si>
    <t>Depreciation</t>
  </si>
  <si>
    <t>Accumulated Depreciation</t>
  </si>
  <si>
    <t>PPE</t>
  </si>
  <si>
    <t>Cost</t>
  </si>
  <si>
    <t>Acc Dep</t>
  </si>
  <si>
    <t>NBV</t>
  </si>
  <si>
    <t>Pre-operational expense</t>
  </si>
  <si>
    <t>Registration &amp; Legal</t>
  </si>
  <si>
    <t>License</t>
  </si>
  <si>
    <t>Advertising &amp; Marketing</t>
  </si>
  <si>
    <t>Financing</t>
  </si>
  <si>
    <t>Capex</t>
  </si>
  <si>
    <t>Opex</t>
  </si>
  <si>
    <t>Pre-operation Expense</t>
  </si>
  <si>
    <t>Cost of Goods</t>
  </si>
  <si>
    <t>SG&amp;A</t>
  </si>
  <si>
    <t>Equity</t>
  </si>
  <si>
    <t>Debt</t>
  </si>
  <si>
    <t>Total</t>
  </si>
  <si>
    <t>Cost of Equity</t>
  </si>
  <si>
    <t>Cost of debt</t>
  </si>
  <si>
    <t>Coupon rate</t>
  </si>
  <si>
    <t>Effective Interest rate</t>
  </si>
  <si>
    <t>Loan period</t>
  </si>
  <si>
    <t>Terminal year</t>
  </si>
  <si>
    <t>Financing Requirement</t>
  </si>
  <si>
    <t>Total Financing</t>
  </si>
  <si>
    <t>Loan Amortisation Schedule</t>
  </si>
  <si>
    <t>Opening Balance</t>
  </si>
  <si>
    <t>Principal</t>
  </si>
  <si>
    <t>Interest due</t>
  </si>
  <si>
    <t>Interest paid</t>
  </si>
  <si>
    <t>Terminal value</t>
  </si>
  <si>
    <t>Closing Balance</t>
  </si>
  <si>
    <t>Dividend payout ratio</t>
  </si>
  <si>
    <t>Closing Receivable Balance</t>
  </si>
  <si>
    <t>Receivables</t>
  </si>
  <si>
    <t>Closing Payable Balance</t>
  </si>
  <si>
    <t>Payable</t>
  </si>
  <si>
    <t>Operating Profit (EBITDA)</t>
  </si>
  <si>
    <t>Depreciation &amp; Amortisation</t>
  </si>
  <si>
    <t>Earnings before Interest and Tax (EBIT)</t>
  </si>
  <si>
    <t>Finance cost (Interest expense)</t>
  </si>
  <si>
    <t>Profit Before Tax</t>
  </si>
  <si>
    <t>Tax Expenses</t>
  </si>
  <si>
    <t xml:space="preserve">Tax Payable </t>
  </si>
  <si>
    <t>Profit (Loss) Before tax</t>
  </si>
  <si>
    <t>Taxable</t>
  </si>
  <si>
    <t>Profit After Tax</t>
  </si>
  <si>
    <t>Profit After Tax (Net Profit)</t>
  </si>
  <si>
    <t>Dividend</t>
  </si>
  <si>
    <t>Dividend Payout</t>
  </si>
  <si>
    <t>Retained Earnings</t>
  </si>
  <si>
    <t>Cummulative Retained Earnings</t>
  </si>
  <si>
    <t>Assets</t>
  </si>
  <si>
    <t>Non-Current Assets</t>
  </si>
  <si>
    <t>Property, Plant and Equipment</t>
  </si>
  <si>
    <t>Net Book Value</t>
  </si>
  <si>
    <t>Current Assets</t>
  </si>
  <si>
    <t>A/c Receivables</t>
  </si>
  <si>
    <t>Cash and Cash Equivalent</t>
  </si>
  <si>
    <t>Total Current Assets</t>
  </si>
  <si>
    <t>Total Assets</t>
  </si>
  <si>
    <t>Ordinary Shareholder Equity</t>
  </si>
  <si>
    <t>Liabilities</t>
  </si>
  <si>
    <t>Non Current Liabilities</t>
  </si>
  <si>
    <t>Loan</t>
  </si>
  <si>
    <t>Total Non Current Liabilities</t>
  </si>
  <si>
    <t>A/c Payable</t>
  </si>
  <si>
    <t>Tax payable</t>
  </si>
  <si>
    <t>Divdend payable</t>
  </si>
  <si>
    <t>Total Current Liabilities</t>
  </si>
  <si>
    <t>Total Equity and Liabilities</t>
  </si>
  <si>
    <t>Total Liabilities</t>
  </si>
  <si>
    <t>Operating Activities</t>
  </si>
  <si>
    <t>Adjustment:</t>
  </si>
  <si>
    <t>Interest Expense</t>
  </si>
  <si>
    <t>Taxation</t>
  </si>
  <si>
    <t>Cashflow Before Working Capital Adj</t>
  </si>
  <si>
    <t>A/c Payables</t>
  </si>
  <si>
    <t>Cashflow After Working Capital Adj.</t>
  </si>
  <si>
    <t>Working Capital Adjustment:</t>
  </si>
  <si>
    <t>Net Cashflow from Operating Activities</t>
  </si>
  <si>
    <t>Investing Activites</t>
  </si>
  <si>
    <t>Net Cashflow from Investing Activities</t>
  </si>
  <si>
    <t>Financial Activities</t>
  </si>
  <si>
    <t>Shareholder Equity</t>
  </si>
  <si>
    <t>Proceed from Debt</t>
  </si>
  <si>
    <t>Net cashflow from Financing Activities</t>
  </si>
  <si>
    <t>Net Changes</t>
  </si>
  <si>
    <t>Free cash flow firm</t>
  </si>
  <si>
    <t>(unlevered free cash flow)</t>
  </si>
  <si>
    <t>Net Income</t>
  </si>
  <si>
    <t xml:space="preserve">ADD: </t>
  </si>
  <si>
    <t>Non- cash Items</t>
  </si>
  <si>
    <t>ADD:</t>
  </si>
  <si>
    <t>Tax savings</t>
  </si>
  <si>
    <t>Tax Shield</t>
  </si>
  <si>
    <t>Interest Expense(Finance cost)</t>
  </si>
  <si>
    <t>Taxshield</t>
  </si>
  <si>
    <t>Tax Savings</t>
  </si>
  <si>
    <t>LESS:</t>
  </si>
  <si>
    <t>Changes in Working Capital</t>
  </si>
  <si>
    <t>CAPEX</t>
  </si>
  <si>
    <t>FCFF</t>
  </si>
  <si>
    <t>FCFE</t>
  </si>
  <si>
    <t>Net Debt</t>
  </si>
  <si>
    <t>(End Bal - Opn Bal)</t>
  </si>
  <si>
    <t>Free cash flow  Equity</t>
  </si>
  <si>
    <t>Weighted Average Cost of capital (WACC)</t>
  </si>
  <si>
    <t>WACC</t>
  </si>
  <si>
    <t>Value of Equity</t>
  </si>
  <si>
    <t>Cost of Debt</t>
  </si>
  <si>
    <t>Value of Debt</t>
  </si>
  <si>
    <t>Total value</t>
  </si>
  <si>
    <t>CAPM</t>
  </si>
  <si>
    <t>Capital Asset Pricing Model</t>
  </si>
  <si>
    <t xml:space="preserve">Risk free rate </t>
  </si>
  <si>
    <t>beta</t>
  </si>
  <si>
    <t>Market return</t>
  </si>
  <si>
    <t>RRI</t>
  </si>
  <si>
    <t>Rf+ b(Rm -Rf)</t>
  </si>
  <si>
    <t>((equity/equity + debt)*cost of equity) + ((debt/debt +equity)* cost of debt (1-tax rate)</t>
  </si>
  <si>
    <t>FCFF YR 5*(1 + GROWTH RATE)/WACC - GROWTH RATE</t>
  </si>
  <si>
    <t>Discounting Factor</t>
  </si>
  <si>
    <t>(1+WACC)^-n</t>
  </si>
  <si>
    <t>Total FCFF</t>
  </si>
  <si>
    <t>Present Value</t>
  </si>
  <si>
    <t>PV</t>
  </si>
  <si>
    <t>Enterprise valuation</t>
  </si>
  <si>
    <t>FCFE YR 5 *(1+GROWTH RATE)/ke -growth rate</t>
  </si>
  <si>
    <t>Total FCFE</t>
  </si>
  <si>
    <t>(1+Ke)^-n</t>
  </si>
  <si>
    <t xml:space="preserve">Present value </t>
  </si>
  <si>
    <t>Equity Valuation</t>
  </si>
  <si>
    <t>Profitability</t>
  </si>
  <si>
    <t>GP Margin</t>
  </si>
  <si>
    <t>OP Margin</t>
  </si>
  <si>
    <t>NP Margin</t>
  </si>
  <si>
    <t>ROCE</t>
  </si>
  <si>
    <t>ROA</t>
  </si>
  <si>
    <t>Liquidity</t>
  </si>
  <si>
    <t xml:space="preserve">Leverage </t>
  </si>
  <si>
    <t xml:space="preserve">Debt to Equity </t>
  </si>
  <si>
    <t>current ratio</t>
  </si>
  <si>
    <t>Interest Coverage</t>
  </si>
  <si>
    <t>Quick ratio (acid test)</t>
  </si>
  <si>
    <t>Efficiency</t>
  </si>
  <si>
    <t>AR turnover ratio</t>
  </si>
  <si>
    <t>DSO (AR Turnover days)</t>
  </si>
  <si>
    <t>Inventory Turnover ratio</t>
  </si>
  <si>
    <t>DIO (Inventory Turnover in days)</t>
  </si>
  <si>
    <t>AP Turnover ratio</t>
  </si>
  <si>
    <t>DPO (AP Turnover in days)</t>
  </si>
  <si>
    <t>Operating Cycle</t>
  </si>
  <si>
    <t>Dataset</t>
  </si>
  <si>
    <t>Year</t>
  </si>
  <si>
    <t>COS</t>
  </si>
  <si>
    <t>Opex items</t>
  </si>
  <si>
    <t>Operating Profit</t>
  </si>
  <si>
    <t>Employee cost</t>
  </si>
  <si>
    <t>Dep &amp; Amort.</t>
  </si>
  <si>
    <t>Other Expenses</t>
  </si>
  <si>
    <t>Sum of Revenue</t>
  </si>
  <si>
    <t>Sum of COS</t>
  </si>
  <si>
    <t>Sum of Gross Profit</t>
  </si>
  <si>
    <t>Row Labels</t>
  </si>
  <si>
    <t>Grand Total</t>
  </si>
  <si>
    <t>Sum of Net Profit</t>
  </si>
  <si>
    <t>Column Labels</t>
  </si>
  <si>
    <t>Sum of Opex</t>
  </si>
  <si>
    <t>Average of Revenue</t>
  </si>
  <si>
    <t>Average of Gross Profit</t>
  </si>
  <si>
    <t>Average of Net Profit</t>
  </si>
  <si>
    <t>Sum of GP Margin</t>
  </si>
  <si>
    <t>Sum of NP Margin</t>
  </si>
  <si>
    <t>Sum of ROCE</t>
  </si>
  <si>
    <t xml:space="preserve"> Revenue</t>
  </si>
  <si>
    <t xml:space="preserve"> Net Profit</t>
  </si>
  <si>
    <t>Last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</si>
</sst>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Red]\-&quot;£&quot;#,##0.00"/>
    <numFmt numFmtId="43" formatCode="_-* #,##0.00_-;\-* #,##0.00_-;_-* &quot;-&quot;??_-;_-@_-"/>
    <numFmt numFmtId="164" formatCode="0.0%"/>
    <numFmt numFmtId="165" formatCode="_-* #,##0_-;\-* #,##0_-;_-* &quot;-&quot;??_-;_-@_-"/>
    <numFmt numFmtId="166" formatCode="0\ &quot;years&quot;"/>
    <numFmt numFmtId="167" formatCode="0.000"/>
    <numFmt numFmtId="168" formatCode="0\ &quot;months&quot;"/>
    <numFmt numFmtId="169" formatCode="&quot;2025&quot;"/>
    <numFmt numFmtId="170" formatCode="&quot;2026&quot;"/>
    <numFmt numFmtId="171" formatCode="&quot;2027&quot;"/>
    <numFmt numFmtId="172" formatCode="&quot;2028&quot;"/>
    <numFmt numFmtId="173" formatCode="\ &quot;2024&quot;"/>
    <numFmt numFmtId="174" formatCode="_-* #,##0.000_-;\-* #,##0.000_-;_-* &quot;-&quot;??_-;_-@_-"/>
    <numFmt numFmtId="175" formatCode="#,##0_ ;\-#,##0\ "/>
    <numFmt numFmtId="176" formatCode="[$₦-470]#,##0;\-[$₦-470]#,##0"/>
  </numFmts>
  <fonts count="1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b/>
      <sz val="18"/>
      <color theme="1"/>
      <name val="Aptos Narrow"/>
      <family val="2"/>
      <scheme val="minor"/>
    </font>
    <font>
      <sz val="16"/>
      <color theme="0"/>
      <name val="Aptos Narrow"/>
      <family val="2"/>
      <scheme val="minor"/>
    </font>
    <font>
      <sz val="22"/>
      <color theme="0"/>
      <name val="Aptos Narrow"/>
      <family val="2"/>
      <scheme val="minor"/>
    </font>
    <font>
      <u/>
      <sz val="11"/>
      <color theme="10"/>
      <name val="Aptos Narrow"/>
      <family val="2"/>
      <scheme val="minor"/>
    </font>
    <font>
      <sz val="18"/>
      <color theme="1"/>
      <name val="Aptos Narrow"/>
      <family val="2"/>
      <scheme val="minor"/>
    </font>
    <font>
      <u/>
      <sz val="18"/>
      <color theme="10"/>
      <name val="Aptos Narrow"/>
      <family val="2"/>
      <scheme val="minor"/>
    </font>
    <font>
      <sz val="36"/>
      <color theme="0"/>
      <name val="Aptos Narrow"/>
      <family val="2"/>
      <scheme val="minor"/>
    </font>
    <font>
      <b/>
      <sz val="20"/>
      <color theme="0"/>
      <name val="Aptos Narrow"/>
      <family val="2"/>
      <scheme val="minor"/>
    </font>
    <font>
      <i/>
      <sz val="11"/>
      <color theme="1"/>
      <name val="Aptos Narrow"/>
      <family val="2"/>
      <scheme val="minor"/>
    </font>
    <font>
      <b/>
      <sz val="22"/>
      <color theme="0"/>
      <name val="Aptos Narrow"/>
      <family val="2"/>
      <scheme val="minor"/>
    </font>
    <font>
      <b/>
      <sz val="28"/>
      <color theme="0"/>
      <name val="Aptos Narrow"/>
      <family val="2"/>
      <scheme val="minor"/>
    </font>
    <font>
      <i/>
      <sz val="9"/>
      <color theme="1"/>
      <name val="Aptos Narrow"/>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7030A0"/>
        <bgColor indexed="64"/>
      </patternFill>
    </fill>
    <fill>
      <patternFill patternType="solid">
        <fgColor theme="0"/>
        <bgColor indexed="64"/>
      </patternFill>
    </fill>
    <fill>
      <patternFill patternType="solid">
        <fgColor rgb="FF00B0F0"/>
        <bgColor indexed="64"/>
      </patternFill>
    </fill>
    <fill>
      <patternFill patternType="solid">
        <fgColor theme="3" tint="0.749992370372631"/>
        <bgColor indexed="64"/>
      </patternFill>
    </fill>
    <fill>
      <patternFill patternType="solid">
        <fgColor theme="4" tint="0.79998168889431442"/>
        <bgColor theme="4" tint="0.79998168889431442"/>
      </patternFill>
    </fill>
    <fill>
      <patternFill patternType="solid">
        <fgColor theme="1" tint="0.499984740745262"/>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top/>
      <bottom style="thick">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right/>
      <top style="thick">
        <color auto="1"/>
      </top>
      <bottom style="thick">
        <color auto="1"/>
      </bottom>
      <diagonal/>
    </border>
    <border>
      <left/>
      <right/>
      <top style="thick">
        <color auto="1"/>
      </top>
      <bottom/>
      <diagonal/>
    </border>
    <border>
      <left style="hair">
        <color auto="1"/>
      </left>
      <right style="hair">
        <color auto="1"/>
      </right>
      <top style="thick">
        <color auto="1"/>
      </top>
      <bottom style="hair">
        <color auto="1"/>
      </bottom>
      <diagonal/>
    </border>
    <border>
      <left style="hair">
        <color auto="1"/>
      </left>
      <right style="hair">
        <color auto="1"/>
      </right>
      <top style="thick">
        <color auto="1"/>
      </top>
      <bottom style="thick">
        <color auto="1"/>
      </bottom>
      <diagonal/>
    </border>
    <border>
      <left style="hair">
        <color auto="1"/>
      </left>
      <right style="hair">
        <color auto="1"/>
      </right>
      <top style="hair">
        <color auto="1"/>
      </top>
      <bottom style="thick">
        <color auto="1"/>
      </bottom>
      <diagonal/>
    </border>
    <border>
      <left style="hair">
        <color auto="1"/>
      </left>
      <right style="hair">
        <color auto="1"/>
      </right>
      <top/>
      <bottom style="thick">
        <color auto="1"/>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109">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2" xfId="0" applyFont="1" applyBorder="1"/>
    <xf numFmtId="0" fontId="2" fillId="0" borderId="4" xfId="0" applyFont="1" applyBorder="1"/>
    <xf numFmtId="0" fontId="2" fillId="0" borderId="0" xfId="0" applyFont="1"/>
    <xf numFmtId="0" fontId="0" fillId="0" borderId="9" xfId="0" applyBorder="1"/>
    <xf numFmtId="0" fontId="3" fillId="3" borderId="0" xfId="0" applyFont="1" applyFill="1"/>
    <xf numFmtId="0" fontId="3" fillId="3" borderId="0" xfId="0" applyFont="1" applyFill="1" applyAlignment="1">
      <alignment horizontal="centerContinuous"/>
    </xf>
    <xf numFmtId="0" fontId="8" fillId="0" borderId="10" xfId="0" applyFont="1" applyBorder="1"/>
    <xf numFmtId="0" fontId="8" fillId="0" borderId="0" xfId="0" applyFont="1"/>
    <xf numFmtId="0" fontId="9" fillId="0" borderId="0" xfId="3" applyFont="1"/>
    <xf numFmtId="0" fontId="5" fillId="3" borderId="0" xfId="0" applyFont="1" applyFill="1" applyAlignment="1">
      <alignment horizontal="centerContinuous"/>
    </xf>
    <xf numFmtId="0" fontId="10" fillId="3" borderId="0" xfId="0" applyFont="1" applyFill="1" applyAlignment="1">
      <alignment horizontal="centerContinuous"/>
    </xf>
    <xf numFmtId="0" fontId="11" fillId="3" borderId="0" xfId="0" applyFont="1" applyFill="1" applyAlignment="1">
      <alignment horizontal="centerContinuous"/>
    </xf>
    <xf numFmtId="10" fontId="0" fillId="0" borderId="0" xfId="0" applyNumberFormat="1"/>
    <xf numFmtId="9" fontId="0" fillId="0" borderId="0" xfId="2" applyFont="1"/>
    <xf numFmtId="9" fontId="0" fillId="0" borderId="0" xfId="0" applyNumberFormat="1"/>
    <xf numFmtId="164" fontId="0" fillId="0" borderId="0" xfId="0" applyNumberFormat="1"/>
    <xf numFmtId="2" fontId="0" fillId="0" borderId="0" xfId="0" applyNumberFormat="1"/>
    <xf numFmtId="165" fontId="0" fillId="0" borderId="0" xfId="1" applyNumberFormat="1" applyFont="1"/>
    <xf numFmtId="9" fontId="0" fillId="0" borderId="9" xfId="2" applyFont="1" applyBorder="1"/>
    <xf numFmtId="9" fontId="0" fillId="0" borderId="9" xfId="0" applyNumberFormat="1" applyBorder="1"/>
    <xf numFmtId="164" fontId="0" fillId="0" borderId="9" xfId="0" applyNumberFormat="1" applyBorder="1"/>
    <xf numFmtId="10" fontId="0" fillId="0" borderId="9" xfId="0" applyNumberFormat="1" applyBorder="1"/>
    <xf numFmtId="0" fontId="12" fillId="0" borderId="9" xfId="0" applyFont="1" applyBorder="1" applyAlignment="1">
      <alignment horizontal="left"/>
    </xf>
    <xf numFmtId="165" fontId="0" fillId="0" borderId="9" xfId="1" applyNumberFormat="1" applyFont="1" applyBorder="1"/>
    <xf numFmtId="165" fontId="2" fillId="0" borderId="13" xfId="0" applyNumberFormat="1" applyFont="1" applyBorder="1"/>
    <xf numFmtId="0" fontId="2" fillId="2" borderId="0" xfId="0" applyFont="1" applyFill="1"/>
    <xf numFmtId="0" fontId="0" fillId="4" borderId="0" xfId="0" applyFill="1"/>
    <xf numFmtId="166" fontId="0" fillId="0" borderId="9" xfId="0" applyNumberFormat="1" applyBorder="1"/>
    <xf numFmtId="43" fontId="0" fillId="0" borderId="9" xfId="1" applyFont="1" applyBorder="1"/>
    <xf numFmtId="165" fontId="0" fillId="0" borderId="12" xfId="1" applyNumberFormat="1" applyFont="1" applyBorder="1"/>
    <xf numFmtId="0" fontId="6" fillId="3" borderId="0" xfId="0" applyFont="1" applyFill="1"/>
    <xf numFmtId="0" fontId="2" fillId="0" borderId="9" xfId="0" applyFont="1" applyBorder="1"/>
    <xf numFmtId="165" fontId="0" fillId="0" borderId="0" xfId="0" applyNumberFormat="1"/>
    <xf numFmtId="165" fontId="0" fillId="0" borderId="10" xfId="0" applyNumberFormat="1" applyBorder="1"/>
    <xf numFmtId="165" fontId="0" fillId="0" borderId="11" xfId="1" applyNumberFormat="1" applyFont="1" applyBorder="1"/>
    <xf numFmtId="165" fontId="0" fillId="0" borderId="9" xfId="0" applyNumberFormat="1" applyBorder="1"/>
    <xf numFmtId="165" fontId="2" fillId="0" borderId="15" xfId="0" applyNumberFormat="1" applyFont="1" applyBorder="1"/>
    <xf numFmtId="165" fontId="2" fillId="0" borderId="9" xfId="0" applyNumberFormat="1" applyFont="1" applyBorder="1"/>
    <xf numFmtId="165" fontId="2" fillId="0" borderId="16" xfId="0" applyNumberFormat="1" applyFont="1" applyBorder="1"/>
    <xf numFmtId="165" fontId="0" fillId="0" borderId="0" xfId="1" applyNumberFormat="1" applyFont="1" applyBorder="1"/>
    <xf numFmtId="165" fontId="2" fillId="0" borderId="13" xfId="1" applyNumberFormat="1" applyFont="1" applyBorder="1"/>
    <xf numFmtId="168" fontId="0" fillId="0" borderId="0" xfId="0" applyNumberFormat="1"/>
    <xf numFmtId="9" fontId="0" fillId="0" borderId="13" xfId="0" applyNumberFormat="1" applyBorder="1"/>
    <xf numFmtId="165" fontId="0" fillId="5" borderId="9" xfId="1" applyNumberFormat="1" applyFont="1" applyFill="1" applyBorder="1"/>
    <xf numFmtId="165" fontId="0" fillId="0" borderId="17" xfId="1" applyNumberFormat="1" applyFont="1" applyBorder="1"/>
    <xf numFmtId="9" fontId="0" fillId="0" borderId="17" xfId="0" applyNumberFormat="1" applyBorder="1"/>
    <xf numFmtId="165" fontId="2" fillId="0" borderId="9" xfId="1" applyNumberFormat="1" applyFont="1" applyBorder="1"/>
    <xf numFmtId="0" fontId="2" fillId="0" borderId="10" xfId="0" applyFont="1" applyBorder="1" applyAlignment="1">
      <alignment horizontal="center"/>
    </xf>
    <xf numFmtId="8" fontId="0" fillId="0" borderId="0" xfId="0" applyNumberFormat="1"/>
    <xf numFmtId="38" fontId="0" fillId="0" borderId="0" xfId="0" applyNumberFormat="1"/>
    <xf numFmtId="165" fontId="2" fillId="0" borderId="18" xfId="0" applyNumberFormat="1" applyFont="1" applyBorder="1"/>
    <xf numFmtId="38" fontId="2" fillId="0" borderId="14" xfId="0" applyNumberFormat="1" applyFont="1" applyBorder="1"/>
    <xf numFmtId="38" fontId="0" fillId="0" borderId="9" xfId="0" applyNumberFormat="1" applyBorder="1"/>
    <xf numFmtId="38" fontId="2" fillId="0" borderId="13" xfId="0" applyNumberFormat="1" applyFont="1" applyBorder="1"/>
    <xf numFmtId="38" fontId="2" fillId="6" borderId="10" xfId="0" applyNumberFormat="1" applyFont="1" applyFill="1" applyBorder="1"/>
    <xf numFmtId="8" fontId="0" fillId="0" borderId="9" xfId="0" applyNumberFormat="1" applyBorder="1"/>
    <xf numFmtId="38" fontId="2" fillId="0" borderId="9" xfId="0" applyNumberFormat="1" applyFont="1" applyBorder="1"/>
    <xf numFmtId="38" fontId="2" fillId="0" borderId="9" xfId="1" applyNumberFormat="1" applyFont="1" applyBorder="1"/>
    <xf numFmtId="0" fontId="13" fillId="3" borderId="0" xfId="0" applyFont="1" applyFill="1" applyAlignment="1">
      <alignment horizontal="centerContinuous"/>
    </xf>
    <xf numFmtId="0" fontId="13" fillId="3" borderId="0" xfId="0" applyFont="1" applyFill="1" applyAlignment="1">
      <alignment horizontal="center"/>
    </xf>
    <xf numFmtId="165" fontId="2" fillId="0" borderId="14" xfId="1" applyNumberFormat="1" applyFont="1" applyBorder="1"/>
    <xf numFmtId="165" fontId="2" fillId="6" borderId="13" xfId="0" applyNumberFormat="1" applyFont="1" applyFill="1" applyBorder="1"/>
    <xf numFmtId="165" fontId="2" fillId="6" borderId="0" xfId="0" applyNumberFormat="1" applyFont="1" applyFill="1"/>
    <xf numFmtId="0" fontId="0" fillId="0" borderId="17" xfId="0" applyBorder="1"/>
    <xf numFmtId="38" fontId="0" fillId="0" borderId="17" xfId="0" applyNumberFormat="1" applyBorder="1"/>
    <xf numFmtId="165" fontId="2" fillId="6" borderId="13" xfId="1" applyNumberFormat="1" applyFont="1" applyFill="1" applyBorder="1"/>
    <xf numFmtId="8" fontId="0" fillId="0" borderId="17" xfId="0" applyNumberFormat="1" applyBorder="1"/>
    <xf numFmtId="0" fontId="3" fillId="4" borderId="0" xfId="0" applyFont="1" applyFill="1"/>
    <xf numFmtId="0" fontId="14" fillId="3" borderId="0" xfId="0" applyFont="1" applyFill="1" applyAlignment="1">
      <alignment horizontal="centerContinuous"/>
    </xf>
    <xf numFmtId="0" fontId="15" fillId="0" borderId="0" xfId="0" applyFont="1"/>
    <xf numFmtId="164" fontId="0" fillId="0" borderId="9" xfId="2" applyNumberFormat="1" applyFont="1" applyBorder="1"/>
    <xf numFmtId="2" fontId="0" fillId="0" borderId="9" xfId="0" applyNumberFormat="1" applyBorder="1"/>
    <xf numFmtId="164" fontId="0" fillId="0" borderId="0" xfId="2" applyNumberFormat="1" applyFont="1"/>
    <xf numFmtId="10" fontId="0" fillId="0" borderId="0" xfId="2" applyNumberFormat="1" applyFont="1"/>
    <xf numFmtId="169" fontId="2" fillId="0" borderId="10" xfId="0" applyNumberFormat="1" applyFont="1" applyBorder="1" applyAlignment="1">
      <alignment horizontal="center"/>
    </xf>
    <xf numFmtId="170" fontId="2" fillId="0" borderId="10" xfId="0" applyNumberFormat="1" applyFont="1" applyBorder="1" applyAlignment="1">
      <alignment horizontal="center"/>
    </xf>
    <xf numFmtId="171" fontId="2" fillId="0" borderId="10" xfId="0" applyNumberFormat="1" applyFont="1" applyBorder="1" applyAlignment="1">
      <alignment horizontal="center"/>
    </xf>
    <xf numFmtId="172" fontId="2" fillId="0" borderId="10" xfId="0" applyNumberFormat="1" applyFont="1" applyBorder="1" applyAlignment="1">
      <alignment horizontal="center"/>
    </xf>
    <xf numFmtId="173" fontId="2" fillId="0" borderId="10" xfId="0" applyNumberFormat="1" applyFont="1" applyBorder="1" applyAlignment="1">
      <alignment horizontal="center"/>
    </xf>
    <xf numFmtId="165" fontId="2" fillId="4" borderId="0" xfId="0" applyNumberFormat="1" applyFont="1" applyFill="1"/>
    <xf numFmtId="167" fontId="0" fillId="0" borderId="9" xfId="0" applyNumberFormat="1" applyBorder="1"/>
    <xf numFmtId="165" fontId="2" fillId="6" borderId="14" xfId="0" applyNumberFormat="1" applyFont="1" applyFill="1" applyBorder="1"/>
    <xf numFmtId="165" fontId="2" fillId="4" borderId="9" xfId="0" applyNumberFormat="1" applyFont="1" applyFill="1" applyBorder="1"/>
    <xf numFmtId="174" fontId="2" fillId="4" borderId="9" xfId="0" applyNumberFormat="1" applyFont="1" applyFill="1" applyBorder="1"/>
    <xf numFmtId="0" fontId="2" fillId="0" borderId="9" xfId="0" applyFont="1" applyBorder="1" applyAlignment="1">
      <alignment horizontal="center"/>
    </xf>
    <xf numFmtId="173" fontId="2" fillId="0" borderId="9" xfId="0" applyNumberFormat="1" applyFont="1" applyBorder="1" applyAlignment="1">
      <alignment horizontal="center"/>
    </xf>
    <xf numFmtId="169" fontId="2" fillId="0" borderId="9" xfId="0" applyNumberFormat="1" applyFont="1" applyBorder="1" applyAlignment="1">
      <alignment horizontal="center"/>
    </xf>
    <xf numFmtId="170" fontId="2" fillId="0" borderId="9" xfId="0" applyNumberFormat="1" applyFont="1" applyBorder="1" applyAlignment="1">
      <alignment horizontal="center"/>
    </xf>
    <xf numFmtId="171" fontId="2" fillId="0" borderId="9" xfId="0" applyNumberFormat="1" applyFont="1" applyBorder="1" applyAlignment="1">
      <alignment horizontal="center"/>
    </xf>
    <xf numFmtId="172" fontId="2" fillId="0" borderId="9" xfId="0" applyNumberFormat="1" applyFont="1" applyBorder="1" applyAlignment="1">
      <alignment horizontal="center"/>
    </xf>
    <xf numFmtId="43" fontId="0" fillId="0" borderId="9" xfId="0" applyNumberFormat="1" applyBorder="1"/>
    <xf numFmtId="175" fontId="0" fillId="0" borderId="9" xfId="0" applyNumberFormat="1" applyBorder="1"/>
    <xf numFmtId="0" fontId="2" fillId="7" borderId="19" xfId="0" applyFont="1" applyFill="1" applyBorder="1"/>
    <xf numFmtId="0" fontId="0" fillId="0" borderId="0" xfId="0" pivotButton="1"/>
    <xf numFmtId="0" fontId="0" fillId="0" borderId="0" xfId="0" applyAlignment="1">
      <alignment horizontal="left"/>
    </xf>
    <xf numFmtId="0" fontId="3" fillId="8" borderId="0" xfId="0" applyFont="1" applyFill="1"/>
    <xf numFmtId="176" fontId="2" fillId="7" borderId="20" xfId="0" applyNumberFormat="1" applyFont="1" applyFill="1" applyBorder="1"/>
    <xf numFmtId="14" fontId="0" fillId="0" borderId="0" xfId="0" applyNumberFormat="1"/>
    <xf numFmtId="14" fontId="3" fillId="8" borderId="0" xfId="0" applyNumberFormat="1" applyFont="1" applyFill="1"/>
  </cellXfs>
  <cellStyles count="4">
    <cellStyle name="Comma" xfId="1" builtinId="3"/>
    <cellStyle name="Hyperlink" xfId="3" builtinId="8"/>
    <cellStyle name="Normal" xfId="0" builtinId="0"/>
    <cellStyle name="Percent" xfId="2" builtinId="5"/>
  </cellStyles>
  <dxfs count="6">
    <dxf>
      <numFmt numFmtId="13" formatCode="0%"/>
    </dxf>
    <dxf>
      <numFmt numFmtId="165" formatCode="_-* #,##0_-;\-* #,##0_-;_-* &quot;-&quot;??_-;_-@_-"/>
    </dxf>
    <dxf>
      <numFmt numFmtId="165" formatCode="_-* #,##0_-;\-* #,##0_-;_-* &quot;-&quot;??_-;_-@_-"/>
    </dxf>
    <dxf>
      <numFmt numFmtId="165" formatCode="_-* #,##0_-;\-* #,##0_-;_-* &quot;-&quot;??_-;_-@_-"/>
    </dxf>
    <dxf>
      <numFmt numFmtId="165" formatCode="_-* #,##0_-;\-* #,##0_-;_-* &quot;-&quot;??_-;_-@_-"/>
    </dxf>
    <dxf>
      <font>
        <b val="0"/>
        <i val="0"/>
        <strike val="0"/>
        <condense val="0"/>
        <extend val="0"/>
        <outline val="0"/>
        <shadow val="0"/>
        <u val="none"/>
        <vertAlign val="baseline"/>
        <sz val="11"/>
        <color theme="1"/>
        <name val="Aptos Narrow"/>
        <family val="2"/>
        <scheme val="minor"/>
      </font>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 and Savor Model.xlsx]Pivot!PivotTable1</c:name>
    <c:fmtId val="5"/>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sz="900" b="1"/>
              <a:t>Operating Performance</a:t>
            </a:r>
          </a:p>
        </c:rich>
      </c:tx>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09510575883897"/>
          <c:y val="0.19781690140845073"/>
          <c:w val="0.74876763933920021"/>
          <c:h val="0.50380281690140838"/>
        </c:manualLayout>
      </c:layout>
      <c:barChart>
        <c:barDir val="col"/>
        <c:grouping val="clustered"/>
        <c:varyColors val="0"/>
        <c:ser>
          <c:idx val="0"/>
          <c:order val="0"/>
          <c:tx>
            <c:strRef>
              <c:f>Pivot!$B$1</c:f>
              <c:strCache>
                <c:ptCount val="1"/>
                <c:pt idx="0">
                  <c:v>Sum of Revenue</c:v>
                </c:pt>
              </c:strCache>
            </c:strRef>
          </c:tx>
          <c:spPr>
            <a:solidFill>
              <a:schemeClr val="accent1"/>
            </a:solidFill>
            <a:ln>
              <a:noFill/>
            </a:ln>
            <a:effectLst/>
          </c:spPr>
          <c:invertIfNegative val="0"/>
          <c:cat>
            <c:strRef>
              <c:f>Pivot!$A$2:$A$7</c:f>
              <c:strCache>
                <c:ptCount val="5"/>
                <c:pt idx="0">
                  <c:v>2024</c:v>
                </c:pt>
                <c:pt idx="1">
                  <c:v>2025</c:v>
                </c:pt>
                <c:pt idx="2">
                  <c:v>2026</c:v>
                </c:pt>
                <c:pt idx="3">
                  <c:v>2027</c:v>
                </c:pt>
                <c:pt idx="4">
                  <c:v>2028</c:v>
                </c:pt>
              </c:strCache>
            </c:strRef>
          </c:cat>
          <c:val>
            <c:numRef>
              <c:f>Pivot!$B$2:$B$7</c:f>
              <c:numCache>
                <c:formatCode>_-* #,##0_-;\-* #,##0_-;_-* "-"??_-;_-@_-</c:formatCode>
                <c:ptCount val="5"/>
                <c:pt idx="0">
                  <c:v>380160000</c:v>
                </c:pt>
                <c:pt idx="1">
                  <c:v>423705600</c:v>
                </c:pt>
                <c:pt idx="2">
                  <c:v>470476800</c:v>
                </c:pt>
                <c:pt idx="3">
                  <c:v>547992000</c:v>
                </c:pt>
                <c:pt idx="4">
                  <c:v>620136000</c:v>
                </c:pt>
              </c:numCache>
            </c:numRef>
          </c:val>
          <c:extLst>
            <c:ext xmlns:c16="http://schemas.microsoft.com/office/drawing/2014/chart" uri="{C3380CC4-5D6E-409C-BE32-E72D297353CC}">
              <c16:uniqueId val="{00000000-AC82-4DDA-A969-1C72B88C07E0}"/>
            </c:ext>
          </c:extLst>
        </c:ser>
        <c:ser>
          <c:idx val="1"/>
          <c:order val="1"/>
          <c:tx>
            <c:strRef>
              <c:f>Pivot!$C$1</c:f>
              <c:strCache>
                <c:ptCount val="1"/>
                <c:pt idx="0">
                  <c:v>Sum of COS</c:v>
                </c:pt>
              </c:strCache>
            </c:strRef>
          </c:tx>
          <c:spPr>
            <a:solidFill>
              <a:schemeClr val="accent2"/>
            </a:solidFill>
            <a:ln>
              <a:noFill/>
            </a:ln>
            <a:effectLst/>
          </c:spPr>
          <c:invertIfNegative val="0"/>
          <c:cat>
            <c:strRef>
              <c:f>Pivot!$A$2:$A$7</c:f>
              <c:strCache>
                <c:ptCount val="5"/>
                <c:pt idx="0">
                  <c:v>2024</c:v>
                </c:pt>
                <c:pt idx="1">
                  <c:v>2025</c:v>
                </c:pt>
                <c:pt idx="2">
                  <c:v>2026</c:v>
                </c:pt>
                <c:pt idx="3">
                  <c:v>2027</c:v>
                </c:pt>
                <c:pt idx="4">
                  <c:v>2028</c:v>
                </c:pt>
              </c:strCache>
            </c:strRef>
          </c:cat>
          <c:val>
            <c:numRef>
              <c:f>Pivot!$C$2:$C$7</c:f>
              <c:numCache>
                <c:formatCode>_-* #,##0_-;\-* #,##0_-;_-* "-"??_-;_-@_-</c:formatCode>
                <c:ptCount val="5"/>
                <c:pt idx="0">
                  <c:v>188064000</c:v>
                </c:pt>
                <c:pt idx="1">
                  <c:v>205482240</c:v>
                </c:pt>
                <c:pt idx="2">
                  <c:v>224190720</c:v>
                </c:pt>
                <c:pt idx="3">
                  <c:v>255196800</c:v>
                </c:pt>
                <c:pt idx="4">
                  <c:v>284054400</c:v>
                </c:pt>
              </c:numCache>
            </c:numRef>
          </c:val>
          <c:extLst>
            <c:ext xmlns:c16="http://schemas.microsoft.com/office/drawing/2014/chart" uri="{C3380CC4-5D6E-409C-BE32-E72D297353CC}">
              <c16:uniqueId val="{00000001-AC82-4DDA-A969-1C72B88C07E0}"/>
            </c:ext>
          </c:extLst>
        </c:ser>
        <c:ser>
          <c:idx val="2"/>
          <c:order val="2"/>
          <c:tx>
            <c:strRef>
              <c:f>Pivot!$D$1</c:f>
              <c:strCache>
                <c:ptCount val="1"/>
                <c:pt idx="0">
                  <c:v>Sum of Gross Profit</c:v>
                </c:pt>
              </c:strCache>
            </c:strRef>
          </c:tx>
          <c:spPr>
            <a:solidFill>
              <a:schemeClr val="accent3"/>
            </a:solidFill>
            <a:ln>
              <a:noFill/>
            </a:ln>
            <a:effectLst/>
          </c:spPr>
          <c:invertIfNegative val="0"/>
          <c:cat>
            <c:strRef>
              <c:f>Pivot!$A$2:$A$7</c:f>
              <c:strCache>
                <c:ptCount val="5"/>
                <c:pt idx="0">
                  <c:v>2024</c:v>
                </c:pt>
                <c:pt idx="1">
                  <c:v>2025</c:v>
                </c:pt>
                <c:pt idx="2">
                  <c:v>2026</c:v>
                </c:pt>
                <c:pt idx="3">
                  <c:v>2027</c:v>
                </c:pt>
                <c:pt idx="4">
                  <c:v>2028</c:v>
                </c:pt>
              </c:strCache>
            </c:strRef>
          </c:cat>
          <c:val>
            <c:numRef>
              <c:f>Pivot!$D$2:$D$7</c:f>
              <c:numCache>
                <c:formatCode>_-* #,##0_-;\-* #,##0_-;_-* "-"??_-;_-@_-</c:formatCode>
                <c:ptCount val="5"/>
                <c:pt idx="0">
                  <c:v>192096000</c:v>
                </c:pt>
                <c:pt idx="1">
                  <c:v>218223360</c:v>
                </c:pt>
                <c:pt idx="2">
                  <c:v>246286080</c:v>
                </c:pt>
                <c:pt idx="3">
                  <c:v>292795200</c:v>
                </c:pt>
                <c:pt idx="4">
                  <c:v>336081600</c:v>
                </c:pt>
              </c:numCache>
            </c:numRef>
          </c:val>
          <c:extLst>
            <c:ext xmlns:c16="http://schemas.microsoft.com/office/drawing/2014/chart" uri="{C3380CC4-5D6E-409C-BE32-E72D297353CC}">
              <c16:uniqueId val="{00000002-AC82-4DDA-A969-1C72B88C07E0}"/>
            </c:ext>
          </c:extLst>
        </c:ser>
        <c:ser>
          <c:idx val="3"/>
          <c:order val="3"/>
          <c:tx>
            <c:strRef>
              <c:f>Pivot!$E$1</c:f>
              <c:strCache>
                <c:ptCount val="1"/>
                <c:pt idx="0">
                  <c:v>Sum of Net Profit</c:v>
                </c:pt>
              </c:strCache>
            </c:strRef>
          </c:tx>
          <c:spPr>
            <a:solidFill>
              <a:schemeClr val="accent4"/>
            </a:solidFill>
            <a:ln>
              <a:noFill/>
            </a:ln>
            <a:effectLst/>
          </c:spPr>
          <c:invertIfNegative val="0"/>
          <c:cat>
            <c:strRef>
              <c:f>Pivot!$A$2:$A$7</c:f>
              <c:strCache>
                <c:ptCount val="5"/>
                <c:pt idx="0">
                  <c:v>2024</c:v>
                </c:pt>
                <c:pt idx="1">
                  <c:v>2025</c:v>
                </c:pt>
                <c:pt idx="2">
                  <c:v>2026</c:v>
                </c:pt>
                <c:pt idx="3">
                  <c:v>2027</c:v>
                </c:pt>
                <c:pt idx="4">
                  <c:v>2028</c:v>
                </c:pt>
              </c:strCache>
            </c:strRef>
          </c:cat>
          <c:val>
            <c:numRef>
              <c:f>Pivot!$E$2:$E$7</c:f>
              <c:numCache>
                <c:formatCode>_-* #,##0_-;\-* #,##0_-;_-* "-"??_-;_-@_-</c:formatCode>
                <c:ptCount val="5"/>
                <c:pt idx="0">
                  <c:v>18435542.850000001</c:v>
                </c:pt>
                <c:pt idx="1">
                  <c:v>39622876.314750001</c:v>
                </c:pt>
                <c:pt idx="2">
                  <c:v>53634941.864291251</c:v>
                </c:pt>
                <c:pt idx="3">
                  <c:v>80571880.673112303</c:v>
                </c:pt>
                <c:pt idx="4">
                  <c:v>78818367.529066786</c:v>
                </c:pt>
              </c:numCache>
            </c:numRef>
          </c:val>
          <c:extLst>
            <c:ext xmlns:c16="http://schemas.microsoft.com/office/drawing/2014/chart" uri="{C3380CC4-5D6E-409C-BE32-E72D297353CC}">
              <c16:uniqueId val="{00000003-AC82-4DDA-A969-1C72B88C07E0}"/>
            </c:ext>
          </c:extLst>
        </c:ser>
        <c:dLbls>
          <c:showLegendKey val="0"/>
          <c:showVal val="0"/>
          <c:showCatName val="0"/>
          <c:showSerName val="0"/>
          <c:showPercent val="0"/>
          <c:showBubbleSize val="0"/>
        </c:dLbls>
        <c:gapWidth val="219"/>
        <c:overlap val="-27"/>
        <c:axId val="222090511"/>
        <c:axId val="222089551"/>
      </c:barChart>
      <c:catAx>
        <c:axId val="222090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22089551"/>
        <c:crosses val="autoZero"/>
        <c:auto val="1"/>
        <c:lblAlgn val="ctr"/>
        <c:lblOffset val="100"/>
        <c:noMultiLvlLbl val="0"/>
      </c:catAx>
      <c:valAx>
        <c:axId val="22208955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22090511"/>
        <c:crosses val="autoZero"/>
        <c:crossBetween val="between"/>
        <c:dispUnits>
          <c:builtInUnit val="millions"/>
          <c:dispUnitsLbl>
            <c:layout>
              <c:manualLayout>
                <c:xMode val="edge"/>
                <c:yMode val="edge"/>
                <c:x val="1.3888888888888888E-2"/>
                <c:y val="0.30555555555555558"/>
              </c:manualLayout>
            </c:layout>
            <c:spPr>
              <a:noFill/>
              <a:ln>
                <a:noFill/>
              </a:ln>
              <a:effectLst/>
            </c:spPr>
            <c:txPr>
              <a:bodyPr rot="-54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 and Savor Model.xlsx]Pivot!PivotTable4</c:name>
    <c:fmtId val="3"/>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GB" sz="900" b="1"/>
              <a:t>Financial Ratios</a:t>
            </a:r>
          </a:p>
        </c:rich>
      </c:tx>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Pivot!$B$41</c:f>
              <c:strCache>
                <c:ptCount val="1"/>
                <c:pt idx="0">
                  <c:v>Sum of GP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Pivot!$A$42:$A$47</c:f>
              <c:strCache>
                <c:ptCount val="5"/>
                <c:pt idx="0">
                  <c:v>2024</c:v>
                </c:pt>
                <c:pt idx="1">
                  <c:v>2025</c:v>
                </c:pt>
                <c:pt idx="2">
                  <c:v>2026</c:v>
                </c:pt>
                <c:pt idx="3">
                  <c:v>2027</c:v>
                </c:pt>
                <c:pt idx="4">
                  <c:v>2028</c:v>
                </c:pt>
              </c:strCache>
            </c:strRef>
          </c:cat>
          <c:val>
            <c:numRef>
              <c:f>Pivot!$B$42:$B$47</c:f>
              <c:numCache>
                <c:formatCode>0%</c:formatCode>
                <c:ptCount val="5"/>
                <c:pt idx="0">
                  <c:v>0.50530303030303025</c:v>
                </c:pt>
                <c:pt idx="1">
                  <c:v>0.51503534529635675</c:v>
                </c:pt>
                <c:pt idx="2">
                  <c:v>0.52348188050930455</c:v>
                </c:pt>
                <c:pt idx="3">
                  <c:v>0.53430561030088031</c:v>
                </c:pt>
                <c:pt idx="4">
                  <c:v>0.54194821781028679</c:v>
                </c:pt>
              </c:numCache>
            </c:numRef>
          </c:val>
          <c:smooth val="0"/>
          <c:extLst>
            <c:ext xmlns:c16="http://schemas.microsoft.com/office/drawing/2014/chart" uri="{C3380CC4-5D6E-409C-BE32-E72D297353CC}">
              <c16:uniqueId val="{00000000-4B50-4B15-BC8E-B628C27F012C}"/>
            </c:ext>
          </c:extLst>
        </c:ser>
        <c:ser>
          <c:idx val="1"/>
          <c:order val="1"/>
          <c:tx>
            <c:strRef>
              <c:f>Pivot!$C$41</c:f>
              <c:strCache>
                <c:ptCount val="1"/>
                <c:pt idx="0">
                  <c:v>Sum of NP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Pivot!$A$42:$A$47</c:f>
              <c:strCache>
                <c:ptCount val="5"/>
                <c:pt idx="0">
                  <c:v>2024</c:v>
                </c:pt>
                <c:pt idx="1">
                  <c:v>2025</c:v>
                </c:pt>
                <c:pt idx="2">
                  <c:v>2026</c:v>
                </c:pt>
                <c:pt idx="3">
                  <c:v>2027</c:v>
                </c:pt>
                <c:pt idx="4">
                  <c:v>2028</c:v>
                </c:pt>
              </c:strCache>
            </c:strRef>
          </c:cat>
          <c:val>
            <c:numRef>
              <c:f>Pivot!$C$42:$C$47</c:f>
              <c:numCache>
                <c:formatCode>0%</c:formatCode>
                <c:ptCount val="5"/>
                <c:pt idx="0">
                  <c:v>4.8494167850378793E-2</c:v>
                </c:pt>
                <c:pt idx="1">
                  <c:v>9.3515111234663884E-2</c:v>
                </c:pt>
                <c:pt idx="2">
                  <c:v>0.1140012469568983</c:v>
                </c:pt>
                <c:pt idx="3">
                  <c:v>0.14703112577028918</c:v>
                </c:pt>
                <c:pt idx="4">
                  <c:v>0.12709851956517085</c:v>
                </c:pt>
              </c:numCache>
            </c:numRef>
          </c:val>
          <c:smooth val="0"/>
          <c:extLst>
            <c:ext xmlns:c16="http://schemas.microsoft.com/office/drawing/2014/chart" uri="{C3380CC4-5D6E-409C-BE32-E72D297353CC}">
              <c16:uniqueId val="{00000001-4B50-4B15-BC8E-B628C27F012C}"/>
            </c:ext>
          </c:extLst>
        </c:ser>
        <c:ser>
          <c:idx val="2"/>
          <c:order val="2"/>
          <c:tx>
            <c:strRef>
              <c:f>Pivot!$D$41</c:f>
              <c:strCache>
                <c:ptCount val="1"/>
                <c:pt idx="0">
                  <c:v>Sum of ROCE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Pivot!$A$42:$A$47</c:f>
              <c:strCache>
                <c:ptCount val="5"/>
                <c:pt idx="0">
                  <c:v>2024</c:v>
                </c:pt>
                <c:pt idx="1">
                  <c:v>2025</c:v>
                </c:pt>
                <c:pt idx="2">
                  <c:v>2026</c:v>
                </c:pt>
                <c:pt idx="3">
                  <c:v>2027</c:v>
                </c:pt>
                <c:pt idx="4">
                  <c:v>2028</c:v>
                </c:pt>
              </c:strCache>
            </c:strRef>
          </c:cat>
          <c:val>
            <c:numRef>
              <c:f>Pivot!$D$42:$D$47</c:f>
              <c:numCache>
                <c:formatCode>0%</c:formatCode>
                <c:ptCount val="5"/>
                <c:pt idx="0">
                  <c:v>0.11353573437948562</c:v>
                </c:pt>
                <c:pt idx="1">
                  <c:v>0.20416283977044614</c:v>
                </c:pt>
                <c:pt idx="2">
                  <c:v>0.22632417563521334</c:v>
                </c:pt>
                <c:pt idx="3">
                  <c:v>0.26728965416302986</c:v>
                </c:pt>
                <c:pt idx="4">
                  <c:v>0.21623990191618964</c:v>
                </c:pt>
              </c:numCache>
            </c:numRef>
          </c:val>
          <c:smooth val="0"/>
          <c:extLst>
            <c:ext xmlns:c16="http://schemas.microsoft.com/office/drawing/2014/chart" uri="{C3380CC4-5D6E-409C-BE32-E72D297353CC}">
              <c16:uniqueId val="{00000002-4B50-4B15-BC8E-B628C27F012C}"/>
            </c:ext>
          </c:extLst>
        </c:ser>
        <c:dLbls>
          <c:dLblPos val="t"/>
          <c:showLegendKey val="0"/>
          <c:showVal val="1"/>
          <c:showCatName val="0"/>
          <c:showSerName val="0"/>
          <c:showPercent val="0"/>
          <c:showBubbleSize val="0"/>
        </c:dLbls>
        <c:marker val="1"/>
        <c:smooth val="0"/>
        <c:axId val="222205695"/>
        <c:axId val="222206175"/>
      </c:lineChart>
      <c:catAx>
        <c:axId val="22220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22206175"/>
        <c:crosses val="autoZero"/>
        <c:auto val="1"/>
        <c:lblAlgn val="ctr"/>
        <c:lblOffset val="100"/>
        <c:noMultiLvlLbl val="0"/>
      </c:catAx>
      <c:valAx>
        <c:axId val="222206175"/>
        <c:scaling>
          <c:orientation val="minMax"/>
        </c:scaling>
        <c:delete val="1"/>
        <c:axPos val="l"/>
        <c:numFmt formatCode="0%" sourceLinked="1"/>
        <c:majorTickMark val="none"/>
        <c:minorTickMark val="none"/>
        <c:tickLblPos val="nextTo"/>
        <c:crossAx val="222205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 and Savor Model.xlsx]Pivot!PivotTable5</c:name>
    <c:fmtId val="14"/>
  </c:pivotSource>
  <c:chart>
    <c:title>
      <c:tx>
        <c:rich>
          <a:bodyPr rot="0" spcFirstLastPara="1" vertOverflow="ellipsis" vert="horz" wrap="square" anchor="ctr" anchorCtr="1"/>
          <a:lstStyle/>
          <a:p>
            <a:pPr>
              <a:defRPr sz="900" b="1" i="0" u="none" strike="noStrike" kern="1200" cap="all" spc="50" baseline="0">
                <a:solidFill>
                  <a:schemeClr val="tx1">
                    <a:lumMod val="65000"/>
                    <a:lumOff val="35000"/>
                  </a:schemeClr>
                </a:solidFill>
                <a:latin typeface="+mn-lt"/>
                <a:ea typeface="+mn-ea"/>
                <a:cs typeface="+mn-cs"/>
              </a:defRPr>
            </a:pPr>
            <a:r>
              <a:rPr lang="en-US" sz="900"/>
              <a:t>Opex</a:t>
            </a:r>
          </a:p>
        </c:rich>
      </c:tx>
      <c:overlay val="0"/>
      <c:spPr>
        <a:noFill/>
        <a:ln>
          <a:noFill/>
        </a:ln>
        <a:effectLst/>
      </c:spPr>
      <c:txPr>
        <a:bodyPr rot="0" spcFirstLastPara="1" vertOverflow="ellipsis" vert="horz" wrap="square" anchor="ctr" anchorCtr="1"/>
        <a:lstStyle/>
        <a:p>
          <a:pPr>
            <a:defRPr sz="9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0917406972336392"/>
          <c:y val="0.21763834978374186"/>
          <c:w val="0.3649503936844784"/>
          <c:h val="0.61553232782521905"/>
        </c:manualLayout>
      </c:layout>
      <c:doughnutChart>
        <c:varyColors val="1"/>
        <c:ser>
          <c:idx val="0"/>
          <c:order val="0"/>
          <c:tx>
            <c:strRef>
              <c:f>Pivot!$B$20</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CCA-4F7D-95BA-958E86E8B36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CCA-4F7D-95BA-958E86E8B36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CCA-4F7D-95BA-958E86E8B36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Pivot!$A$21:$A$24</c:f>
              <c:strCache>
                <c:ptCount val="3"/>
                <c:pt idx="0">
                  <c:v>Dep &amp; Amort.</c:v>
                </c:pt>
                <c:pt idx="1">
                  <c:v>Employee cost</c:v>
                </c:pt>
                <c:pt idx="2">
                  <c:v>Other Expenses</c:v>
                </c:pt>
              </c:strCache>
            </c:strRef>
          </c:cat>
          <c:val>
            <c:numRef>
              <c:f>Pivot!$B$21:$B$24</c:f>
              <c:numCache>
                <c:formatCode>_-* #,##0_-;\-* #,##0_-;_-* "-"??_-;_-@_-</c:formatCode>
                <c:ptCount val="3"/>
                <c:pt idx="0">
                  <c:v>97483333.333333343</c:v>
                </c:pt>
                <c:pt idx="1">
                  <c:v>483000000</c:v>
                </c:pt>
                <c:pt idx="2">
                  <c:v>212343520</c:v>
                </c:pt>
              </c:numCache>
            </c:numRef>
          </c:val>
          <c:extLst>
            <c:ext xmlns:c16="http://schemas.microsoft.com/office/drawing/2014/chart" uri="{C3380CC4-5D6E-409C-BE32-E72D297353CC}">
              <c16:uniqueId val="{00000006-8CCA-4F7D-95BA-958E86E8B36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[Sip and Savor Model.xlsx]Pivot!PivotTable2</c:name>
    <c:fmtId val="4"/>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GB" sz="900" b="1"/>
              <a:t>Opex</a:t>
            </a:r>
            <a:r>
              <a:rPr lang="en-GB" sz="900" b="1" baseline="0"/>
              <a:t> Item</a:t>
            </a:r>
            <a:endParaRPr lang="en-GB" sz="900" b="1"/>
          </a:p>
        </c:rich>
      </c:tx>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Pivot!$B$10:$B$11</c:f>
              <c:strCache>
                <c:ptCount val="1"/>
                <c:pt idx="0">
                  <c:v>Dep &amp; Amort.</c:v>
                </c:pt>
              </c:strCache>
            </c:strRef>
          </c:tx>
          <c:spPr>
            <a:solidFill>
              <a:schemeClr val="accent1"/>
            </a:solidFill>
            <a:ln>
              <a:noFill/>
            </a:ln>
            <a:effectLst/>
          </c:spPr>
          <c:invertIfNegative val="0"/>
          <c:cat>
            <c:strRef>
              <c:f>Pivot!$A$12:$A$17</c:f>
              <c:strCache>
                <c:ptCount val="5"/>
                <c:pt idx="0">
                  <c:v>2024</c:v>
                </c:pt>
                <c:pt idx="1">
                  <c:v>2025</c:v>
                </c:pt>
                <c:pt idx="2">
                  <c:v>2026</c:v>
                </c:pt>
                <c:pt idx="3">
                  <c:v>2027</c:v>
                </c:pt>
                <c:pt idx="4">
                  <c:v>2028</c:v>
                </c:pt>
              </c:strCache>
            </c:strRef>
          </c:cat>
          <c:val>
            <c:numRef>
              <c:f>Pivot!$B$12:$B$17</c:f>
              <c:numCache>
                <c:formatCode>_-* #,##0_-;\-* #,##0_-;_-* "-"??_-;_-@_-</c:formatCode>
                <c:ptCount val="5"/>
                <c:pt idx="0">
                  <c:v>15716666.666666666</c:v>
                </c:pt>
                <c:pt idx="1">
                  <c:v>15716666.666666666</c:v>
                </c:pt>
                <c:pt idx="2">
                  <c:v>20716666.666666668</c:v>
                </c:pt>
                <c:pt idx="3">
                  <c:v>23916666.666666668</c:v>
                </c:pt>
                <c:pt idx="4">
                  <c:v>21416666.666666668</c:v>
                </c:pt>
              </c:numCache>
            </c:numRef>
          </c:val>
          <c:extLst>
            <c:ext xmlns:c16="http://schemas.microsoft.com/office/drawing/2014/chart" uri="{C3380CC4-5D6E-409C-BE32-E72D297353CC}">
              <c16:uniqueId val="{00000000-CF73-4E0D-B654-E8A4B620D044}"/>
            </c:ext>
          </c:extLst>
        </c:ser>
        <c:ser>
          <c:idx val="1"/>
          <c:order val="1"/>
          <c:tx>
            <c:strRef>
              <c:f>Pivot!$C$10:$C$11</c:f>
              <c:strCache>
                <c:ptCount val="1"/>
                <c:pt idx="0">
                  <c:v>Employee cost</c:v>
                </c:pt>
              </c:strCache>
            </c:strRef>
          </c:tx>
          <c:spPr>
            <a:solidFill>
              <a:schemeClr val="accent2"/>
            </a:solidFill>
            <a:ln>
              <a:noFill/>
            </a:ln>
            <a:effectLst/>
          </c:spPr>
          <c:invertIfNegative val="0"/>
          <c:cat>
            <c:strRef>
              <c:f>Pivot!$A$12:$A$17</c:f>
              <c:strCache>
                <c:ptCount val="5"/>
                <c:pt idx="0">
                  <c:v>2024</c:v>
                </c:pt>
                <c:pt idx="1">
                  <c:v>2025</c:v>
                </c:pt>
                <c:pt idx="2">
                  <c:v>2026</c:v>
                </c:pt>
                <c:pt idx="3">
                  <c:v>2027</c:v>
                </c:pt>
                <c:pt idx="4">
                  <c:v>2028</c:v>
                </c:pt>
              </c:strCache>
            </c:strRef>
          </c:cat>
          <c:val>
            <c:numRef>
              <c:f>Pivot!$C$12:$C$17</c:f>
              <c:numCache>
                <c:formatCode>_-* #,##0_-;\-* #,##0_-;_-* "-"??_-;_-@_-</c:formatCode>
                <c:ptCount val="5"/>
                <c:pt idx="0">
                  <c:v>96600000</c:v>
                </c:pt>
                <c:pt idx="1">
                  <c:v>96600000</c:v>
                </c:pt>
                <c:pt idx="2">
                  <c:v>96600000</c:v>
                </c:pt>
                <c:pt idx="3">
                  <c:v>96600000</c:v>
                </c:pt>
                <c:pt idx="4">
                  <c:v>96600000</c:v>
                </c:pt>
              </c:numCache>
            </c:numRef>
          </c:val>
          <c:extLst>
            <c:ext xmlns:c16="http://schemas.microsoft.com/office/drawing/2014/chart" uri="{C3380CC4-5D6E-409C-BE32-E72D297353CC}">
              <c16:uniqueId val="{00000001-CF73-4E0D-B654-E8A4B620D044}"/>
            </c:ext>
          </c:extLst>
        </c:ser>
        <c:ser>
          <c:idx val="2"/>
          <c:order val="2"/>
          <c:tx>
            <c:strRef>
              <c:f>Pivot!$D$10:$D$11</c:f>
              <c:strCache>
                <c:ptCount val="1"/>
                <c:pt idx="0">
                  <c:v>Other Expenses</c:v>
                </c:pt>
              </c:strCache>
            </c:strRef>
          </c:tx>
          <c:spPr>
            <a:solidFill>
              <a:schemeClr val="accent3"/>
            </a:solidFill>
            <a:ln>
              <a:noFill/>
            </a:ln>
            <a:effectLst/>
          </c:spPr>
          <c:invertIfNegative val="0"/>
          <c:cat>
            <c:strRef>
              <c:f>Pivot!$A$12:$A$17</c:f>
              <c:strCache>
                <c:ptCount val="5"/>
                <c:pt idx="0">
                  <c:v>2024</c:v>
                </c:pt>
                <c:pt idx="1">
                  <c:v>2025</c:v>
                </c:pt>
                <c:pt idx="2">
                  <c:v>2026</c:v>
                </c:pt>
                <c:pt idx="3">
                  <c:v>2027</c:v>
                </c:pt>
                <c:pt idx="4">
                  <c:v>2028</c:v>
                </c:pt>
              </c:strCache>
            </c:strRef>
          </c:cat>
          <c:val>
            <c:numRef>
              <c:f>Pivot!$D$12:$D$17</c:f>
              <c:numCache>
                <c:formatCode>_-* #,##0_-;\-* #,##0_-;_-* "-"??_-;_-@_-</c:formatCode>
                <c:ptCount val="5"/>
                <c:pt idx="0">
                  <c:v>42028000</c:v>
                </c:pt>
                <c:pt idx="1">
                  <c:v>37445280</c:v>
                </c:pt>
                <c:pt idx="2">
                  <c:v>40383840</c:v>
                </c:pt>
                <c:pt idx="3">
                  <c:v>44379600</c:v>
                </c:pt>
                <c:pt idx="4">
                  <c:v>48106800</c:v>
                </c:pt>
              </c:numCache>
            </c:numRef>
          </c:val>
          <c:extLst>
            <c:ext xmlns:c16="http://schemas.microsoft.com/office/drawing/2014/chart" uri="{C3380CC4-5D6E-409C-BE32-E72D297353CC}">
              <c16:uniqueId val="{00000002-CF73-4E0D-B654-E8A4B620D044}"/>
            </c:ext>
          </c:extLst>
        </c:ser>
        <c:dLbls>
          <c:showLegendKey val="0"/>
          <c:showVal val="0"/>
          <c:showCatName val="0"/>
          <c:showSerName val="0"/>
          <c:showPercent val="0"/>
          <c:showBubbleSize val="0"/>
        </c:dLbls>
        <c:gapWidth val="150"/>
        <c:overlap val="100"/>
        <c:axId val="652819071"/>
        <c:axId val="652818111"/>
      </c:barChart>
      <c:catAx>
        <c:axId val="65281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818111"/>
        <c:crosses val="autoZero"/>
        <c:auto val="1"/>
        <c:lblAlgn val="ctr"/>
        <c:lblOffset val="100"/>
        <c:noMultiLvlLbl val="0"/>
      </c:catAx>
      <c:valAx>
        <c:axId val="6528181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819071"/>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31" fmlaLink="'Input data'!$E$5" fmlaRange="'Input data'!$D$21:$D$23" sel="2" val="0"/>
</file>

<file path=xl/ctrlProps/ctrlProp2.xml><?xml version="1.0" encoding="utf-8"?>
<formControlPr xmlns="http://schemas.microsoft.com/office/spreadsheetml/2009/9/main" objectType="Drop" dropLines="3" dropStyle="combo" dx="31" fmlaLink="'Input data'!$E$5" fmlaRange="'Input data'!$D$21:$D$23" sel="2" val="0"/>
</file>

<file path=xl/ctrlProps/ctrlProp3.xml><?xml version="1.0" encoding="utf-8"?>
<formControlPr xmlns="http://schemas.microsoft.com/office/spreadsheetml/2009/9/main" objectType="Drop" dropLines="3" dropStyle="combo" dx="31" fmlaLink="'Input data'!$E$5" fmlaRange="'Input data'!$D$21:$D$23" sel="2" val="0"/>
</file>

<file path=xl/ctrlProps/ctrlProp4.xml><?xml version="1.0" encoding="utf-8"?>
<formControlPr xmlns="http://schemas.microsoft.com/office/spreadsheetml/2009/9/main" objectType="Drop" dropLines="3" dropStyle="combo" dx="31" fmlaLink="'Input data'!$E$5" fmlaRange="'Input data'!$D$21:$D$23" sel="2" val="0"/>
</file>

<file path=xl/ctrlProps/ctrlProp5.xml><?xml version="1.0" encoding="utf-8"?>
<formControlPr xmlns="http://schemas.microsoft.com/office/spreadsheetml/2009/9/main" objectType="Drop" dropLines="3" dropStyle="combo" dx="31" fmlaLink="'Input data'!$E$5" fmlaRange="'Input data'!$D$21:$D$23" sel="2" val="0"/>
</file>

<file path=xl/ctrlProps/ctrlProp6.xml><?xml version="1.0" encoding="utf-8"?>
<formControlPr xmlns="http://schemas.microsoft.com/office/spreadsheetml/2009/9/main" objectType="Drop" dropLines="3" dropStyle="combo" dx="31" fmlaLink="'Input data'!$E$5" fmlaRange="'Input data'!$D$21:$D$23" sel="2" val="0"/>
</file>

<file path=xl/ctrlProps/ctrlProp7.xml><?xml version="1.0" encoding="utf-8"?>
<formControlPr xmlns="http://schemas.microsoft.com/office/spreadsheetml/2009/9/main" objectType="Drop" dropLines="3" dropStyle="combo" dx="31" fmlaLink="'Input data'!$E$5" fmlaRange="'Input data'!$D$21:$D$23" sel="2" val="0"/>
</file>

<file path=xl/ctrlProps/ctrlProp8.xml><?xml version="1.0" encoding="utf-8"?>
<formControlPr xmlns="http://schemas.microsoft.com/office/spreadsheetml/2009/9/main" objectType="Drop" dropLines="3" dropStyle="combo" dx="31" fmlaLink="'Input data'!$E$5" fmlaRange="'Input data'!$D$21:$D$23" sel="2" val="0"/>
</file>

<file path=xl/ctrlProps/ctrlProp9.xml><?xml version="1.0" encoding="utf-8"?>
<formControlPr xmlns="http://schemas.microsoft.com/office/spreadsheetml/2009/9/main" objectType="Drop" dropLines="3" dropStyle="combo" dx="31" fmlaLink="'Input data'!$E$5" fmlaRange="'Input data'!$D$21:$D$23" sel="2" val="0"/>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3.pn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12700</xdr:colOff>
      <xdr:row>0</xdr:row>
      <xdr:rowOff>44450</xdr:rowOff>
    </xdr:from>
    <xdr:to>
      <xdr:col>18</xdr:col>
      <xdr:colOff>50800</xdr:colOff>
      <xdr:row>26</xdr:row>
      <xdr:rowOff>6350</xdr:rowOff>
    </xdr:to>
    <xdr:sp macro="" textlink="">
      <xdr:nvSpPr>
        <xdr:cNvPr id="2" name="Rectangle 1">
          <a:extLst>
            <a:ext uri="{FF2B5EF4-FFF2-40B4-BE49-F238E27FC236}">
              <a16:creationId xmlns:a16="http://schemas.microsoft.com/office/drawing/2014/main" id="{3EDC57A0-998C-E954-3695-FB82A98977C3}"/>
            </a:ext>
          </a:extLst>
        </xdr:cNvPr>
        <xdr:cNvSpPr/>
      </xdr:nvSpPr>
      <xdr:spPr>
        <a:xfrm>
          <a:off x="622300" y="44450"/>
          <a:ext cx="10401300" cy="4749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9</xdr:col>
      <xdr:colOff>69850</xdr:colOff>
      <xdr:row>0</xdr:row>
      <xdr:rowOff>76200</xdr:rowOff>
    </xdr:from>
    <xdr:to>
      <xdr:col>18</xdr:col>
      <xdr:colOff>63500</xdr:colOff>
      <xdr:row>25</xdr:row>
      <xdr:rowOff>177800</xdr:rowOff>
    </xdr:to>
    <xdr:pic>
      <xdr:nvPicPr>
        <xdr:cNvPr id="4" name="Picture 3">
          <a:extLst>
            <a:ext uri="{FF2B5EF4-FFF2-40B4-BE49-F238E27FC236}">
              <a16:creationId xmlns:a16="http://schemas.microsoft.com/office/drawing/2014/main" id="{11405C9C-D98B-6B18-43A1-94A3481A7B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56250" y="76200"/>
          <a:ext cx="5480050" cy="4705350"/>
        </a:xfrm>
        <a:prstGeom prst="rect">
          <a:avLst/>
        </a:prstGeom>
        <a:noFill/>
      </xdr:spPr>
    </xdr:pic>
    <xdr:clientData/>
  </xdr:twoCellAnchor>
  <xdr:twoCellAnchor>
    <xdr:from>
      <xdr:col>1</xdr:col>
      <xdr:colOff>63500</xdr:colOff>
      <xdr:row>0</xdr:row>
      <xdr:rowOff>158750</xdr:rowOff>
    </xdr:from>
    <xdr:to>
      <xdr:col>9</xdr:col>
      <xdr:colOff>57150</xdr:colOff>
      <xdr:row>11</xdr:row>
      <xdr:rowOff>82550</xdr:rowOff>
    </xdr:to>
    <xdr:sp macro="" textlink="">
      <xdr:nvSpPr>
        <xdr:cNvPr id="5" name="Rectangle 4">
          <a:extLst>
            <a:ext uri="{FF2B5EF4-FFF2-40B4-BE49-F238E27FC236}">
              <a16:creationId xmlns:a16="http://schemas.microsoft.com/office/drawing/2014/main" id="{B44BF464-4D74-76D4-26FB-647FD89C976D}"/>
            </a:ext>
          </a:extLst>
        </xdr:cNvPr>
        <xdr:cNvSpPr/>
      </xdr:nvSpPr>
      <xdr:spPr>
        <a:xfrm>
          <a:off x="673100" y="158750"/>
          <a:ext cx="4870450" cy="194945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600" b="1"/>
            <a:t>Sip</a:t>
          </a:r>
          <a:r>
            <a:rPr lang="en-GB" sz="3600" b="1" baseline="0"/>
            <a:t> &amp; Savor Beverage Co.</a:t>
          </a:r>
        </a:p>
        <a:p>
          <a:pPr algn="l"/>
          <a:endParaRPr lang="en-GB" sz="1800" i="1" baseline="0"/>
        </a:p>
        <a:p>
          <a:pPr algn="l"/>
          <a:r>
            <a:rPr lang="en-GB" sz="1800" i="1" baseline="0"/>
            <a:t>Simply refreshing, Irrestitable taste....</a:t>
          </a:r>
          <a:endParaRPr lang="en-GB" sz="1800" i="1"/>
        </a:p>
      </xdr:txBody>
    </xdr:sp>
    <xdr:clientData/>
  </xdr:twoCellAnchor>
  <xdr:twoCellAnchor>
    <xdr:from>
      <xdr:col>1</xdr:col>
      <xdr:colOff>44450</xdr:colOff>
      <xdr:row>15</xdr:row>
      <xdr:rowOff>57150</xdr:rowOff>
    </xdr:from>
    <xdr:to>
      <xdr:col>9</xdr:col>
      <xdr:colOff>44450</xdr:colOff>
      <xdr:row>25</xdr:row>
      <xdr:rowOff>158750</xdr:rowOff>
    </xdr:to>
    <xdr:sp macro="" textlink="">
      <xdr:nvSpPr>
        <xdr:cNvPr id="6" name="Rectangle 5">
          <a:extLst>
            <a:ext uri="{FF2B5EF4-FFF2-40B4-BE49-F238E27FC236}">
              <a16:creationId xmlns:a16="http://schemas.microsoft.com/office/drawing/2014/main" id="{DA1855A7-73B7-0715-CCBA-B558857B6077}"/>
            </a:ext>
          </a:extLst>
        </xdr:cNvPr>
        <xdr:cNvSpPr/>
      </xdr:nvSpPr>
      <xdr:spPr>
        <a:xfrm>
          <a:off x="654050" y="2819400"/>
          <a:ext cx="4876800" cy="194310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t>Five year Financial model</a:t>
          </a:r>
        </a:p>
        <a:p>
          <a:pPr algn="l"/>
          <a:endParaRPr lang="en-GB" sz="2000" b="1"/>
        </a:p>
        <a:p>
          <a:pPr algn="l"/>
          <a:r>
            <a:rPr lang="en-GB" sz="2000" b="1"/>
            <a:t>2024</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158749</xdr:colOff>
      <xdr:row>2</xdr:row>
      <xdr:rowOff>12700</xdr:rowOff>
    </xdr:from>
    <xdr:to>
      <xdr:col>12</xdr:col>
      <xdr:colOff>292100</xdr:colOff>
      <xdr:row>4</xdr:row>
      <xdr:rowOff>81325</xdr:rowOff>
    </xdr:to>
    <xdr:pic>
      <xdr:nvPicPr>
        <xdr:cNvPr id="2" name="Picture 1">
          <a:extLst>
            <a:ext uri="{FF2B5EF4-FFF2-40B4-BE49-F238E27FC236}">
              <a16:creationId xmlns:a16="http://schemas.microsoft.com/office/drawing/2014/main" id="{982B591F-5E91-B139-C14C-BFF84D6F7F3B}"/>
            </a:ext>
          </a:extLst>
        </xdr:cNvPr>
        <xdr:cNvPicPr>
          <a:picLocks noChangeAspect="1"/>
        </xdr:cNvPicPr>
      </xdr:nvPicPr>
      <xdr:blipFill>
        <a:blip xmlns:r="http://schemas.openxmlformats.org/officeDocument/2006/relationships" r:embed="rId1"/>
        <a:stretch>
          <a:fillRect/>
        </a:stretch>
      </xdr:blipFill>
      <xdr:spPr>
        <a:xfrm>
          <a:off x="6864349" y="203200"/>
          <a:ext cx="1060451" cy="5512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152400</xdr:colOff>
          <xdr:row>0</xdr:row>
          <xdr:rowOff>6350</xdr:rowOff>
        </xdr:from>
        <xdr:to>
          <xdr:col>5</xdr:col>
          <xdr:colOff>146050</xdr:colOff>
          <xdr:row>1</xdr:row>
          <xdr:rowOff>76200</xdr:rowOff>
        </xdr:to>
        <xdr:sp macro="" textlink="">
          <xdr:nvSpPr>
            <xdr:cNvPr id="2049" name="Drop Dow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165100</xdr:colOff>
      <xdr:row>1</xdr:row>
      <xdr:rowOff>120650</xdr:rowOff>
    </xdr:from>
    <xdr:to>
      <xdr:col>16</xdr:col>
      <xdr:colOff>596900</xdr:colOff>
      <xdr:row>26</xdr:row>
      <xdr:rowOff>107950</xdr:rowOff>
    </xdr:to>
    <xdr:sp macro="" textlink="">
      <xdr:nvSpPr>
        <xdr:cNvPr id="2" name="Rectangle 1">
          <a:extLst>
            <a:ext uri="{FF2B5EF4-FFF2-40B4-BE49-F238E27FC236}">
              <a16:creationId xmlns:a16="http://schemas.microsoft.com/office/drawing/2014/main" id="{FA2AE021-1D6A-32C6-976A-FDD043FE5568}"/>
            </a:ext>
          </a:extLst>
        </xdr:cNvPr>
        <xdr:cNvSpPr/>
      </xdr:nvSpPr>
      <xdr:spPr>
        <a:xfrm>
          <a:off x="774700" y="304800"/>
          <a:ext cx="9575800" cy="4591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298450</xdr:colOff>
      <xdr:row>1</xdr:row>
      <xdr:rowOff>171450</xdr:rowOff>
    </xdr:from>
    <xdr:to>
      <xdr:col>16</xdr:col>
      <xdr:colOff>463550</xdr:colOff>
      <xdr:row>5</xdr:row>
      <xdr:rowOff>0</xdr:rowOff>
    </xdr:to>
    <xdr:sp macro="" textlink="">
      <xdr:nvSpPr>
        <xdr:cNvPr id="3" name="Rectangle 2">
          <a:extLst>
            <a:ext uri="{FF2B5EF4-FFF2-40B4-BE49-F238E27FC236}">
              <a16:creationId xmlns:a16="http://schemas.microsoft.com/office/drawing/2014/main" id="{655C6CA8-DD90-A74C-3D26-BC669654ACCB}"/>
            </a:ext>
          </a:extLst>
        </xdr:cNvPr>
        <xdr:cNvSpPr/>
      </xdr:nvSpPr>
      <xdr:spPr>
        <a:xfrm>
          <a:off x="908050" y="355600"/>
          <a:ext cx="9309100" cy="565150"/>
        </a:xfrm>
        <a:prstGeom prst="rect">
          <a:avLst/>
        </a:prstGeom>
        <a:solidFill>
          <a:schemeClr val="tx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1100">
              <a:solidFill>
                <a:schemeClr val="tx1"/>
              </a:solidFill>
            </a:rPr>
            <a:t>                                                                                                                                                                                                                            </a:t>
          </a:r>
          <a:r>
            <a:rPr lang="en-GB" sz="1100">
              <a:solidFill>
                <a:schemeClr val="bg1"/>
              </a:solidFill>
            </a:rPr>
            <a:t>Five year Financial model</a:t>
          </a:r>
        </a:p>
      </xdr:txBody>
    </xdr:sp>
    <xdr:clientData/>
  </xdr:twoCellAnchor>
  <xdr:twoCellAnchor editAs="oneCell">
    <xdr:from>
      <xdr:col>1</xdr:col>
      <xdr:colOff>438150</xdr:colOff>
      <xdr:row>2</xdr:row>
      <xdr:rowOff>31750</xdr:rowOff>
    </xdr:from>
    <xdr:to>
      <xdr:col>4</xdr:col>
      <xdr:colOff>228600</xdr:colOff>
      <xdr:row>4</xdr:row>
      <xdr:rowOff>69850</xdr:rowOff>
    </xdr:to>
    <xdr:pic>
      <xdr:nvPicPr>
        <xdr:cNvPr id="4" name="Picture 3">
          <a:extLst>
            <a:ext uri="{FF2B5EF4-FFF2-40B4-BE49-F238E27FC236}">
              <a16:creationId xmlns:a16="http://schemas.microsoft.com/office/drawing/2014/main" id="{F177BE26-5EA1-318B-7FD4-F385174773D7}"/>
            </a:ext>
          </a:extLst>
        </xdr:cNvPr>
        <xdr:cNvPicPr>
          <a:picLocks noChangeAspect="1"/>
        </xdr:cNvPicPr>
      </xdr:nvPicPr>
      <xdr:blipFill>
        <a:blip xmlns:r="http://schemas.openxmlformats.org/officeDocument/2006/relationships" r:embed="rId1"/>
        <a:stretch>
          <a:fillRect/>
        </a:stretch>
      </xdr:blipFill>
      <xdr:spPr>
        <a:xfrm>
          <a:off x="1047750" y="400050"/>
          <a:ext cx="1619250" cy="40640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7</xdr:col>
          <xdr:colOff>107950</xdr:colOff>
          <xdr:row>2</xdr:row>
          <xdr:rowOff>152400</xdr:rowOff>
        </xdr:from>
        <xdr:to>
          <xdr:col>9</xdr:col>
          <xdr:colOff>101600</xdr:colOff>
          <xdr:row>4</xdr:row>
          <xdr:rowOff>38100</xdr:rowOff>
        </xdr:to>
        <xdr:sp macro="" textlink="">
          <xdr:nvSpPr>
            <xdr:cNvPr id="12289" name="Drop Down 1" hidden="1">
              <a:extLst>
                <a:ext uri="{63B3BB69-23CF-44E3-9099-C40C66FF867C}">
                  <a14:compatExt spid="_x0000_s12289"/>
                </a:ext>
                <a:ext uri="{FF2B5EF4-FFF2-40B4-BE49-F238E27FC236}">
                  <a16:creationId xmlns:a16="http://schemas.microsoft.com/office/drawing/2014/main" id="{00000000-0008-0000-03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279400</xdr:colOff>
      <xdr:row>5</xdr:row>
      <xdr:rowOff>95250</xdr:rowOff>
    </xdr:from>
    <xdr:to>
      <xdr:col>3</xdr:col>
      <xdr:colOff>501650</xdr:colOff>
      <xdr:row>26</xdr:row>
      <xdr:rowOff>76200</xdr:rowOff>
    </xdr:to>
    <xdr:sp macro="" textlink="">
      <xdr:nvSpPr>
        <xdr:cNvPr id="5" name="Rectangle 4">
          <a:extLst>
            <a:ext uri="{FF2B5EF4-FFF2-40B4-BE49-F238E27FC236}">
              <a16:creationId xmlns:a16="http://schemas.microsoft.com/office/drawing/2014/main" id="{37C8D2C3-D42E-1879-7FF2-2F40256A97BA}"/>
            </a:ext>
          </a:extLst>
        </xdr:cNvPr>
        <xdr:cNvSpPr/>
      </xdr:nvSpPr>
      <xdr:spPr>
        <a:xfrm>
          <a:off x="889000" y="1016000"/>
          <a:ext cx="1441450" cy="3848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xdr:colOff>
      <xdr:row>5</xdr:row>
      <xdr:rowOff>152400</xdr:rowOff>
    </xdr:from>
    <xdr:to>
      <xdr:col>9</xdr:col>
      <xdr:colOff>254000</xdr:colOff>
      <xdr:row>15</xdr:row>
      <xdr:rowOff>114300</xdr:rowOff>
    </xdr:to>
    <xdr:sp macro="" textlink="">
      <xdr:nvSpPr>
        <xdr:cNvPr id="6" name="Rectangle 5">
          <a:extLst>
            <a:ext uri="{FF2B5EF4-FFF2-40B4-BE49-F238E27FC236}">
              <a16:creationId xmlns:a16="http://schemas.microsoft.com/office/drawing/2014/main" id="{151B4199-47EF-4E97-A1DA-6F66AF2A29EB}"/>
            </a:ext>
          </a:extLst>
        </xdr:cNvPr>
        <xdr:cNvSpPr/>
      </xdr:nvSpPr>
      <xdr:spPr>
        <a:xfrm>
          <a:off x="2495550" y="1073150"/>
          <a:ext cx="3244850" cy="1803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381000</xdr:colOff>
      <xdr:row>16</xdr:row>
      <xdr:rowOff>57150</xdr:rowOff>
    </xdr:from>
    <xdr:to>
      <xdr:col>16</xdr:col>
      <xdr:colOff>546100</xdr:colOff>
      <xdr:row>26</xdr:row>
      <xdr:rowOff>76200</xdr:rowOff>
    </xdr:to>
    <xdr:sp macro="" textlink="">
      <xdr:nvSpPr>
        <xdr:cNvPr id="7" name="Rectangle 6">
          <a:extLst>
            <a:ext uri="{FF2B5EF4-FFF2-40B4-BE49-F238E27FC236}">
              <a16:creationId xmlns:a16="http://schemas.microsoft.com/office/drawing/2014/main" id="{AACCE7B1-43AF-372F-E80B-4875D9EADD35}"/>
            </a:ext>
          </a:extLst>
        </xdr:cNvPr>
        <xdr:cNvSpPr/>
      </xdr:nvSpPr>
      <xdr:spPr>
        <a:xfrm>
          <a:off x="8915400" y="3003550"/>
          <a:ext cx="1384300" cy="186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336550</xdr:colOff>
      <xdr:row>16</xdr:row>
      <xdr:rowOff>101600</xdr:rowOff>
    </xdr:from>
    <xdr:to>
      <xdr:col>14</xdr:col>
      <xdr:colOff>285750</xdr:colOff>
      <xdr:row>26</xdr:row>
      <xdr:rowOff>0</xdr:rowOff>
    </xdr:to>
    <xdr:sp macro="" textlink="">
      <xdr:nvSpPr>
        <xdr:cNvPr id="8" name="Rectangle 7">
          <a:extLst>
            <a:ext uri="{FF2B5EF4-FFF2-40B4-BE49-F238E27FC236}">
              <a16:creationId xmlns:a16="http://schemas.microsoft.com/office/drawing/2014/main" id="{E73FA17F-3D4C-672E-8FFA-385E36B5B82C}"/>
            </a:ext>
          </a:extLst>
        </xdr:cNvPr>
        <xdr:cNvSpPr/>
      </xdr:nvSpPr>
      <xdr:spPr>
        <a:xfrm>
          <a:off x="5822950" y="3048000"/>
          <a:ext cx="2997200" cy="1739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xdr:colOff>
      <xdr:row>16</xdr:row>
      <xdr:rowOff>107950</xdr:rowOff>
    </xdr:from>
    <xdr:to>
      <xdr:col>9</xdr:col>
      <xdr:colOff>228600</xdr:colOff>
      <xdr:row>26</xdr:row>
      <xdr:rowOff>31750</xdr:rowOff>
    </xdr:to>
    <xdr:sp macro="" textlink="">
      <xdr:nvSpPr>
        <xdr:cNvPr id="9" name="Rectangle 8">
          <a:extLst>
            <a:ext uri="{FF2B5EF4-FFF2-40B4-BE49-F238E27FC236}">
              <a16:creationId xmlns:a16="http://schemas.microsoft.com/office/drawing/2014/main" id="{6F342460-1C2C-A31F-C6BF-45F5E477121D}"/>
            </a:ext>
          </a:extLst>
        </xdr:cNvPr>
        <xdr:cNvSpPr/>
      </xdr:nvSpPr>
      <xdr:spPr>
        <a:xfrm>
          <a:off x="2495550" y="3054350"/>
          <a:ext cx="3219450" cy="176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419100</xdr:colOff>
      <xdr:row>5</xdr:row>
      <xdr:rowOff>139700</xdr:rowOff>
    </xdr:from>
    <xdr:to>
      <xdr:col>16</xdr:col>
      <xdr:colOff>539750</xdr:colOff>
      <xdr:row>15</xdr:row>
      <xdr:rowOff>114300</xdr:rowOff>
    </xdr:to>
    <xdr:sp macro="" textlink="">
      <xdr:nvSpPr>
        <xdr:cNvPr id="10" name="Rectangle 9">
          <a:extLst>
            <a:ext uri="{FF2B5EF4-FFF2-40B4-BE49-F238E27FC236}">
              <a16:creationId xmlns:a16="http://schemas.microsoft.com/office/drawing/2014/main" id="{B21E5167-7EB9-5723-E422-88E626D29A8B}"/>
            </a:ext>
          </a:extLst>
        </xdr:cNvPr>
        <xdr:cNvSpPr/>
      </xdr:nvSpPr>
      <xdr:spPr>
        <a:xfrm>
          <a:off x="5905500" y="1060450"/>
          <a:ext cx="4387850" cy="1816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xdr:colOff>
      <xdr:row>5</xdr:row>
      <xdr:rowOff>152400</xdr:rowOff>
    </xdr:from>
    <xdr:to>
      <xdr:col>9</xdr:col>
      <xdr:colOff>247650</xdr:colOff>
      <xdr:row>15</xdr:row>
      <xdr:rowOff>114300</xdr:rowOff>
    </xdr:to>
    <xdr:graphicFrame macro="">
      <xdr:nvGraphicFramePr>
        <xdr:cNvPr id="12" name="Chart 11">
          <a:extLst>
            <a:ext uri="{FF2B5EF4-FFF2-40B4-BE49-F238E27FC236}">
              <a16:creationId xmlns:a16="http://schemas.microsoft.com/office/drawing/2014/main" id="{F4BE4FB6-7062-45BB-818D-AB9CD77D9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336550</xdr:colOff>
      <xdr:row>5</xdr:row>
      <xdr:rowOff>139700</xdr:rowOff>
    </xdr:from>
    <xdr:to>
      <xdr:col>16</xdr:col>
      <xdr:colOff>577850</xdr:colOff>
      <xdr:row>15</xdr:row>
      <xdr:rowOff>114300</xdr:rowOff>
    </xdr:to>
    <xdr:graphicFrame macro="">
      <xdr:nvGraphicFramePr>
        <xdr:cNvPr id="13" name="Chart 12">
          <a:extLst>
            <a:ext uri="{FF2B5EF4-FFF2-40B4-BE49-F238E27FC236}">
              <a16:creationId xmlns:a16="http://schemas.microsoft.com/office/drawing/2014/main" id="{401B049A-F320-4672-8295-6213CD557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336551</xdr:colOff>
      <xdr:row>16</xdr:row>
      <xdr:rowOff>0</xdr:rowOff>
    </xdr:from>
    <xdr:to>
      <xdr:col>14</xdr:col>
      <xdr:colOff>330200</xdr:colOff>
      <xdr:row>26</xdr:row>
      <xdr:rowOff>63500</xdr:rowOff>
    </xdr:to>
    <xdr:graphicFrame macro="">
      <xdr:nvGraphicFramePr>
        <xdr:cNvPr id="17" name="Chart 16">
          <a:extLst>
            <a:ext uri="{FF2B5EF4-FFF2-40B4-BE49-F238E27FC236}">
              <a16:creationId xmlns:a16="http://schemas.microsoft.com/office/drawing/2014/main" id="{32BDCDEA-B2C6-42C5-BB3C-2FA9095AC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31750</xdr:colOff>
      <xdr:row>16</xdr:row>
      <xdr:rowOff>19050</xdr:rowOff>
    </xdr:from>
    <xdr:to>
      <xdr:col>9</xdr:col>
      <xdr:colOff>266700</xdr:colOff>
      <xdr:row>26</xdr:row>
      <xdr:rowOff>95250</xdr:rowOff>
    </xdr:to>
    <xdr:graphicFrame macro="">
      <xdr:nvGraphicFramePr>
        <xdr:cNvPr id="18" name="Chart 17">
          <a:extLst>
            <a:ext uri="{FF2B5EF4-FFF2-40B4-BE49-F238E27FC236}">
              <a16:creationId xmlns:a16="http://schemas.microsoft.com/office/drawing/2014/main" id="{8D8CA798-3694-4B7F-88DC-25C331122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342900</xdr:colOff>
      <xdr:row>6</xdr:row>
      <xdr:rowOff>19050</xdr:rowOff>
    </xdr:from>
    <xdr:to>
      <xdr:col>3</xdr:col>
      <xdr:colOff>457200</xdr:colOff>
      <xdr:row>12</xdr:row>
      <xdr:rowOff>6350</xdr:rowOff>
    </xdr:to>
    <xdr:sp macro="" textlink="Pivot!F37">
      <xdr:nvSpPr>
        <xdr:cNvPr id="19" name="Rectangle 18">
          <a:extLst>
            <a:ext uri="{FF2B5EF4-FFF2-40B4-BE49-F238E27FC236}">
              <a16:creationId xmlns:a16="http://schemas.microsoft.com/office/drawing/2014/main" id="{F1A3EFD8-4E63-F323-FB7E-11028DE2E1E0}"/>
            </a:ext>
          </a:extLst>
        </xdr:cNvPr>
        <xdr:cNvSpPr/>
      </xdr:nvSpPr>
      <xdr:spPr>
        <a:xfrm>
          <a:off x="952500" y="1123950"/>
          <a:ext cx="1333500" cy="1092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1" i="0" u="none" strike="noStrike">
            <a:solidFill>
              <a:srgbClr val="000000"/>
            </a:solidFill>
            <a:latin typeface="Aptos Narrow"/>
          </a:endParaRPr>
        </a:p>
        <a:p>
          <a:pPr algn="ctr"/>
          <a:endParaRPr lang="en-US" sz="1100" b="1" i="0" u="none" strike="noStrike">
            <a:solidFill>
              <a:srgbClr val="000000"/>
            </a:solidFill>
            <a:latin typeface="Aptos Narrow"/>
          </a:endParaRPr>
        </a:p>
        <a:p>
          <a:pPr algn="ctr"/>
          <a:endParaRPr lang="en-US" sz="1100" b="1" i="0" u="none" strike="noStrike">
            <a:solidFill>
              <a:srgbClr val="000000"/>
            </a:solidFill>
            <a:latin typeface="Aptos Narrow"/>
          </a:endParaRPr>
        </a:p>
        <a:p>
          <a:pPr algn="ctr"/>
          <a:fld id="{E91E3553-81DD-466D-A845-D5C52C5E6909}" type="TxLink">
            <a:rPr lang="en-US" sz="1600" b="1" i="0" u="none" strike="noStrike">
              <a:solidFill>
                <a:srgbClr val="000000"/>
              </a:solidFill>
              <a:latin typeface="Aptos Narrow"/>
            </a:rPr>
            <a:pPr algn="ctr"/>
            <a:t>₦586,192,896</a:t>
          </a:fld>
          <a:endParaRPr lang="en-US" sz="1600"/>
        </a:p>
      </xdr:txBody>
    </xdr:sp>
    <xdr:clientData/>
  </xdr:twoCellAnchor>
  <xdr:twoCellAnchor>
    <xdr:from>
      <xdr:col>1</xdr:col>
      <xdr:colOff>323850</xdr:colOff>
      <xdr:row>20</xdr:row>
      <xdr:rowOff>6350</xdr:rowOff>
    </xdr:from>
    <xdr:to>
      <xdr:col>3</xdr:col>
      <xdr:colOff>476250</xdr:colOff>
      <xdr:row>25</xdr:row>
      <xdr:rowOff>177800</xdr:rowOff>
    </xdr:to>
    <xdr:sp macro="" textlink="Pivot!H37">
      <xdr:nvSpPr>
        <xdr:cNvPr id="20" name="Rectangle 19">
          <a:extLst>
            <a:ext uri="{FF2B5EF4-FFF2-40B4-BE49-F238E27FC236}">
              <a16:creationId xmlns:a16="http://schemas.microsoft.com/office/drawing/2014/main" id="{71051922-EFB7-DBDB-D9EE-265803C3750B}"/>
            </a:ext>
          </a:extLst>
        </xdr:cNvPr>
        <xdr:cNvSpPr/>
      </xdr:nvSpPr>
      <xdr:spPr>
        <a:xfrm>
          <a:off x="933450" y="3689350"/>
          <a:ext cx="1371600" cy="1092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l"/>
          <a:fld id="{7538861A-9146-429B-BCE4-D2D08A27D125}" type="TxLink">
            <a:rPr lang="en-US" sz="1600" b="1" i="0" u="none" strike="noStrike">
              <a:solidFill>
                <a:srgbClr val="000000"/>
              </a:solidFill>
              <a:latin typeface="Aptos Narrow"/>
            </a:rPr>
            <a:pPr algn="l"/>
            <a:t>₦84,071,930</a:t>
          </a:fld>
          <a:endParaRPr lang="en-GB" sz="1600"/>
        </a:p>
      </xdr:txBody>
    </xdr:sp>
    <xdr:clientData/>
  </xdr:twoCellAnchor>
  <xdr:twoCellAnchor>
    <xdr:from>
      <xdr:col>1</xdr:col>
      <xdr:colOff>317500</xdr:colOff>
      <xdr:row>13</xdr:row>
      <xdr:rowOff>0</xdr:rowOff>
    </xdr:from>
    <xdr:to>
      <xdr:col>3</xdr:col>
      <xdr:colOff>469900</xdr:colOff>
      <xdr:row>18</xdr:row>
      <xdr:rowOff>171450</xdr:rowOff>
    </xdr:to>
    <xdr:sp macro="" textlink="Pivot!G37">
      <xdr:nvSpPr>
        <xdr:cNvPr id="21" name="Rectangle 20">
          <a:extLst>
            <a:ext uri="{FF2B5EF4-FFF2-40B4-BE49-F238E27FC236}">
              <a16:creationId xmlns:a16="http://schemas.microsoft.com/office/drawing/2014/main" id="{92AF33E2-7578-3435-BE9D-24EEBCB060D8}"/>
            </a:ext>
          </a:extLst>
        </xdr:cNvPr>
        <xdr:cNvSpPr/>
      </xdr:nvSpPr>
      <xdr:spPr>
        <a:xfrm>
          <a:off x="927100" y="2393950"/>
          <a:ext cx="1371600" cy="1092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ctr"/>
          <a:fld id="{9264FBF0-D2EC-47DF-87C9-8C287834DB07}" type="TxLink">
            <a:rPr lang="en-US" sz="1600" b="1" i="0" u="none" strike="noStrike">
              <a:solidFill>
                <a:srgbClr val="000000"/>
              </a:solidFill>
              <a:latin typeface="Aptos Narrow"/>
            </a:rPr>
            <a:pPr algn="ctr"/>
            <a:t>₦308,515,738</a:t>
          </a:fld>
          <a:endParaRPr lang="en-GB" sz="1600"/>
        </a:p>
      </xdr:txBody>
    </xdr:sp>
    <xdr:clientData/>
  </xdr:twoCellAnchor>
  <xdr:twoCellAnchor>
    <xdr:from>
      <xdr:col>1</xdr:col>
      <xdr:colOff>381000</xdr:colOff>
      <xdr:row>20</xdr:row>
      <xdr:rowOff>63500</xdr:rowOff>
    </xdr:from>
    <xdr:to>
      <xdr:col>3</xdr:col>
      <xdr:colOff>406400</xdr:colOff>
      <xdr:row>21</xdr:row>
      <xdr:rowOff>165100</xdr:rowOff>
    </xdr:to>
    <xdr:sp macro="" textlink="">
      <xdr:nvSpPr>
        <xdr:cNvPr id="22" name="Rectangle 21">
          <a:extLst>
            <a:ext uri="{FF2B5EF4-FFF2-40B4-BE49-F238E27FC236}">
              <a16:creationId xmlns:a16="http://schemas.microsoft.com/office/drawing/2014/main" id="{A8AF00E5-8E9F-6D68-A987-0276F1411309}"/>
            </a:ext>
          </a:extLst>
        </xdr:cNvPr>
        <xdr:cNvSpPr/>
      </xdr:nvSpPr>
      <xdr:spPr>
        <a:xfrm>
          <a:off x="990600" y="3746500"/>
          <a:ext cx="12446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50" b="1"/>
            <a:t>Average Net Profit</a:t>
          </a:r>
        </a:p>
      </xdr:txBody>
    </xdr:sp>
    <xdr:clientData/>
  </xdr:twoCellAnchor>
  <xdr:twoCellAnchor>
    <xdr:from>
      <xdr:col>1</xdr:col>
      <xdr:colOff>400050</xdr:colOff>
      <xdr:row>6</xdr:row>
      <xdr:rowOff>95250</xdr:rowOff>
    </xdr:from>
    <xdr:to>
      <xdr:col>3</xdr:col>
      <xdr:colOff>419100</xdr:colOff>
      <xdr:row>8</xdr:row>
      <xdr:rowOff>12700</xdr:rowOff>
    </xdr:to>
    <xdr:sp macro="" textlink="">
      <xdr:nvSpPr>
        <xdr:cNvPr id="23" name="Rectangle 22">
          <a:extLst>
            <a:ext uri="{FF2B5EF4-FFF2-40B4-BE49-F238E27FC236}">
              <a16:creationId xmlns:a16="http://schemas.microsoft.com/office/drawing/2014/main" id="{3103EB64-57D0-727E-4EFA-7AC01D909BA4}"/>
            </a:ext>
          </a:extLst>
        </xdr:cNvPr>
        <xdr:cNvSpPr/>
      </xdr:nvSpPr>
      <xdr:spPr>
        <a:xfrm>
          <a:off x="1009650" y="1200150"/>
          <a:ext cx="123825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50" b="1"/>
            <a:t>Average Revenue</a:t>
          </a:r>
        </a:p>
      </xdr:txBody>
    </xdr:sp>
    <xdr:clientData/>
  </xdr:twoCellAnchor>
  <xdr:twoCellAnchor>
    <xdr:from>
      <xdr:col>1</xdr:col>
      <xdr:colOff>323850</xdr:colOff>
      <xdr:row>13</xdr:row>
      <xdr:rowOff>44450</xdr:rowOff>
    </xdr:from>
    <xdr:to>
      <xdr:col>3</xdr:col>
      <xdr:colOff>463550</xdr:colOff>
      <xdr:row>14</xdr:row>
      <xdr:rowOff>146050</xdr:rowOff>
    </xdr:to>
    <xdr:sp macro="" textlink="">
      <xdr:nvSpPr>
        <xdr:cNvPr id="24" name="Rectangle 23">
          <a:extLst>
            <a:ext uri="{FF2B5EF4-FFF2-40B4-BE49-F238E27FC236}">
              <a16:creationId xmlns:a16="http://schemas.microsoft.com/office/drawing/2014/main" id="{58CDB068-9144-ECA8-D7A8-28E9D873EAF0}"/>
            </a:ext>
          </a:extLst>
        </xdr:cNvPr>
        <xdr:cNvSpPr/>
      </xdr:nvSpPr>
      <xdr:spPr>
        <a:xfrm>
          <a:off x="933450" y="2438400"/>
          <a:ext cx="13589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50" b="1"/>
            <a:t>Average Gross Profit</a:t>
          </a:r>
        </a:p>
      </xdr:txBody>
    </xdr:sp>
    <xdr:clientData/>
  </xdr:twoCellAnchor>
  <xdr:twoCellAnchor editAs="oneCell">
    <xdr:from>
      <xdr:col>14</xdr:col>
      <xdr:colOff>368300</xdr:colOff>
      <xdr:row>15</xdr:row>
      <xdr:rowOff>158750</xdr:rowOff>
    </xdr:from>
    <xdr:to>
      <xdr:col>16</xdr:col>
      <xdr:colOff>577850</xdr:colOff>
      <xdr:row>26</xdr:row>
      <xdr:rowOff>63500</xdr:rowOff>
    </xdr:to>
    <mc:AlternateContent xmlns:mc="http://schemas.openxmlformats.org/markup-compatibility/2006" xmlns:a14="http://schemas.microsoft.com/office/drawing/2010/main">
      <mc:Choice Requires="a14">
        <xdr:graphicFrame macro="">
          <xdr:nvGraphicFramePr>
            <xdr:cNvPr id="26" name="Year">
              <a:extLst>
                <a:ext uri="{FF2B5EF4-FFF2-40B4-BE49-F238E27FC236}">
                  <a16:creationId xmlns:a16="http://schemas.microsoft.com/office/drawing/2014/main" id="{E982AA4C-0C4A-416C-875E-1A761069493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997950" y="2921000"/>
              <a:ext cx="1428750" cy="1930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920750</xdr:colOff>
          <xdr:row>0</xdr:row>
          <xdr:rowOff>63500</xdr:rowOff>
        </xdr:from>
        <xdr:to>
          <xdr:col>4</xdr:col>
          <xdr:colOff>12700</xdr:colOff>
          <xdr:row>1</xdr:row>
          <xdr:rowOff>133350</xdr:rowOff>
        </xdr:to>
        <xdr:sp macro="" textlink="">
          <xdr:nvSpPr>
            <xdr:cNvPr id="4099" name="Drop Down 3" hidden="1">
              <a:extLst>
                <a:ext uri="{63B3BB69-23CF-44E3-9099-C40C66FF867C}">
                  <a14:compatExt spid="_x0000_s4099"/>
                </a:ext>
                <a:ext uri="{FF2B5EF4-FFF2-40B4-BE49-F238E27FC236}">
                  <a16:creationId xmlns:a16="http://schemas.microsoft.com/office/drawing/2014/main" id="{00000000-0008-0000-04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152400</xdr:colOff>
          <xdr:row>1</xdr:row>
          <xdr:rowOff>6350</xdr:rowOff>
        </xdr:from>
        <xdr:to>
          <xdr:col>4</xdr:col>
          <xdr:colOff>438150</xdr:colOff>
          <xdr:row>2</xdr:row>
          <xdr:rowOff>76200</xdr:rowOff>
        </xdr:to>
        <xdr:sp macro="" textlink="">
          <xdr:nvSpPr>
            <xdr:cNvPr id="5124" name="Drop Down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812800</xdr:colOff>
          <xdr:row>0</xdr:row>
          <xdr:rowOff>158750</xdr:rowOff>
        </xdr:from>
        <xdr:to>
          <xdr:col>4</xdr:col>
          <xdr:colOff>520700</xdr:colOff>
          <xdr:row>2</xdr:row>
          <xdr:rowOff>44450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571500</xdr:colOff>
          <xdr:row>0</xdr:row>
          <xdr:rowOff>25400</xdr:rowOff>
        </xdr:from>
        <xdr:to>
          <xdr:col>4</xdr:col>
          <xdr:colOff>565150</xdr:colOff>
          <xdr:row>1</xdr:row>
          <xdr:rowOff>95250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25400</xdr:colOff>
          <xdr:row>0</xdr:row>
          <xdr:rowOff>19050</xdr:rowOff>
        </xdr:from>
        <xdr:to>
          <xdr:col>5</xdr:col>
          <xdr:colOff>19050</xdr:colOff>
          <xdr:row>1</xdr:row>
          <xdr:rowOff>88900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596900</xdr:colOff>
          <xdr:row>0</xdr:row>
          <xdr:rowOff>0</xdr:rowOff>
        </xdr:from>
        <xdr:to>
          <xdr:col>4</xdr:col>
          <xdr:colOff>260350</xdr:colOff>
          <xdr:row>1</xdr:row>
          <xdr:rowOff>69850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0</xdr:row>
          <xdr:rowOff>25400</xdr:rowOff>
        </xdr:from>
        <xdr:to>
          <xdr:col>4</xdr:col>
          <xdr:colOff>603250</xdr:colOff>
          <xdr:row>1</xdr:row>
          <xdr:rowOff>95250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A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kechukwu" refreshedDate="45709.223677083333" createdVersion="8" refreshedVersion="8" minRefreshableVersion="3" recordCount="20" xr:uid="{D0A2579A-B8A9-46A4-9C03-E0CE945EC127}">
  <cacheSource type="worksheet">
    <worksheetSource name="table1"/>
  </cacheSource>
  <cacheFields count="11">
    <cacheField name="Year" numFmtId="0">
      <sharedItems containsSemiMixedTypes="0" containsString="0" containsNumber="1" containsInteger="1" minValue="2024" maxValue="2028" count="5">
        <n v="2024"/>
        <n v="2025"/>
        <n v="2026"/>
        <n v="2027"/>
        <n v="2028"/>
      </sharedItems>
    </cacheField>
    <cacheField name="Revenue" numFmtId="0">
      <sharedItems containsString="0" containsBlank="1" containsNumber="1" containsInteger="1" minValue="380160000" maxValue="620136000"/>
    </cacheField>
    <cacheField name="COS" numFmtId="0">
      <sharedItems containsString="0" containsBlank="1" containsNumber="1" containsInteger="1" minValue="188064000" maxValue="284054400"/>
    </cacheField>
    <cacheField name="Gross Profit" numFmtId="0">
      <sharedItems containsString="0" containsBlank="1" containsNumber="1" containsInteger="1" minValue="192096000" maxValue="336081600"/>
    </cacheField>
    <cacheField name="Opex items" numFmtId="0">
      <sharedItems containsBlank="1" count="4">
        <m/>
        <s v="Employee cost"/>
        <s v="Dep &amp; Amort."/>
        <s v="Other Expenses"/>
      </sharedItems>
    </cacheField>
    <cacheField name="Opex" numFmtId="0">
      <sharedItems containsString="0" containsBlank="1" containsNumber="1" minValue="15716666.666666666" maxValue="96600000"/>
    </cacheField>
    <cacheField name="Operating Profit" numFmtId="0">
      <sharedItems containsString="0" containsBlank="1" containsNumber="1" containsInteger="1" minValue="53468000" maxValue="191374800"/>
    </cacheField>
    <cacheField name="Net Profit" numFmtId="0">
      <sharedItems containsString="0" containsBlank="1" containsNumber="1" minValue="18435542.850000001" maxValue="80571880.673112303"/>
    </cacheField>
    <cacheField name="GP Margin" numFmtId="0">
      <sharedItems containsString="0" containsBlank="1" containsNumber="1" minValue="0.50530303030303025" maxValue="0.54194821781028679"/>
    </cacheField>
    <cacheField name="NP Margin" numFmtId="0">
      <sharedItems containsString="0" containsBlank="1" containsNumber="1" minValue="4.8494167850378793E-2" maxValue="0.14703112577028918"/>
    </cacheField>
    <cacheField name="ROCE" numFmtId="0">
      <sharedItems containsString="0" containsBlank="1" containsNumber="1" minValue="0.11353573437948562" maxValue="0.26728965416302986"/>
    </cacheField>
  </cacheFields>
  <extLst>
    <ext xmlns:x14="http://schemas.microsoft.com/office/spreadsheetml/2009/9/main" uri="{725AE2AE-9491-48be-B2B4-4EB974FC3084}">
      <x14:pivotCacheDefinition pivotCacheId="1371639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380160000"/>
    <n v="188064000"/>
    <n v="192096000"/>
    <x v="0"/>
    <m/>
    <n v="53468000"/>
    <n v="18435542.850000001"/>
    <n v="0.50530303030303025"/>
    <n v="4.8494167850378793E-2"/>
    <n v="0.11353573437948562"/>
  </r>
  <r>
    <x v="1"/>
    <n v="423705600"/>
    <n v="205482240"/>
    <n v="218223360"/>
    <x v="0"/>
    <m/>
    <n v="84178080"/>
    <n v="39622876.314750001"/>
    <n v="0.51503534529635675"/>
    <n v="9.3515111234663884E-2"/>
    <n v="0.20416283977044614"/>
  </r>
  <r>
    <x v="2"/>
    <n v="470476800"/>
    <n v="224190720"/>
    <n v="246286080"/>
    <x v="0"/>
    <m/>
    <n v="109302240"/>
    <n v="53634941.864291251"/>
    <n v="0.52348188050930455"/>
    <n v="0.1140012469568983"/>
    <n v="0.22632417563521334"/>
  </r>
  <r>
    <x v="3"/>
    <n v="547992000"/>
    <n v="255196800"/>
    <n v="292795200"/>
    <x v="0"/>
    <m/>
    <n v="151815600"/>
    <n v="80571880.673112303"/>
    <n v="0.53430561030088031"/>
    <n v="0.14703112577028918"/>
    <n v="0.26728965416302986"/>
  </r>
  <r>
    <x v="4"/>
    <n v="620136000"/>
    <n v="284054400"/>
    <n v="336081600"/>
    <x v="0"/>
    <m/>
    <n v="191374800"/>
    <n v="78818367.529066786"/>
    <n v="0.54194821781028679"/>
    <n v="0.12709851956517085"/>
    <n v="0.21623990191618964"/>
  </r>
  <r>
    <x v="0"/>
    <m/>
    <m/>
    <m/>
    <x v="1"/>
    <n v="96600000"/>
    <m/>
    <m/>
    <m/>
    <m/>
    <m/>
  </r>
  <r>
    <x v="0"/>
    <m/>
    <m/>
    <m/>
    <x v="2"/>
    <n v="15716666.666666666"/>
    <m/>
    <m/>
    <m/>
    <m/>
    <m/>
  </r>
  <r>
    <x v="0"/>
    <m/>
    <m/>
    <m/>
    <x v="3"/>
    <n v="42028000"/>
    <m/>
    <m/>
    <m/>
    <m/>
    <m/>
  </r>
  <r>
    <x v="1"/>
    <m/>
    <m/>
    <m/>
    <x v="1"/>
    <n v="96600000"/>
    <m/>
    <m/>
    <m/>
    <m/>
    <m/>
  </r>
  <r>
    <x v="1"/>
    <m/>
    <m/>
    <m/>
    <x v="2"/>
    <n v="15716666.666666666"/>
    <m/>
    <m/>
    <m/>
    <m/>
    <m/>
  </r>
  <r>
    <x v="1"/>
    <m/>
    <m/>
    <m/>
    <x v="3"/>
    <n v="37445280"/>
    <m/>
    <m/>
    <m/>
    <m/>
    <m/>
  </r>
  <r>
    <x v="2"/>
    <m/>
    <m/>
    <m/>
    <x v="1"/>
    <n v="96600000"/>
    <m/>
    <m/>
    <m/>
    <m/>
    <m/>
  </r>
  <r>
    <x v="2"/>
    <m/>
    <m/>
    <m/>
    <x v="2"/>
    <n v="20716666.666666668"/>
    <m/>
    <m/>
    <m/>
    <m/>
    <m/>
  </r>
  <r>
    <x v="2"/>
    <m/>
    <m/>
    <m/>
    <x v="3"/>
    <n v="40383840"/>
    <m/>
    <m/>
    <m/>
    <m/>
    <m/>
  </r>
  <r>
    <x v="3"/>
    <m/>
    <m/>
    <m/>
    <x v="1"/>
    <n v="96600000"/>
    <m/>
    <m/>
    <m/>
    <m/>
    <m/>
  </r>
  <r>
    <x v="3"/>
    <m/>
    <m/>
    <m/>
    <x v="2"/>
    <n v="23916666.666666668"/>
    <m/>
    <m/>
    <m/>
    <m/>
    <m/>
  </r>
  <r>
    <x v="3"/>
    <m/>
    <m/>
    <m/>
    <x v="3"/>
    <n v="44379600"/>
    <m/>
    <m/>
    <m/>
    <m/>
    <m/>
  </r>
  <r>
    <x v="4"/>
    <m/>
    <m/>
    <m/>
    <x v="1"/>
    <n v="96600000"/>
    <m/>
    <m/>
    <m/>
    <m/>
    <m/>
  </r>
  <r>
    <x v="4"/>
    <m/>
    <m/>
    <m/>
    <x v="2"/>
    <n v="21416666.666666668"/>
    <m/>
    <m/>
    <m/>
    <m/>
    <m/>
  </r>
  <r>
    <x v="4"/>
    <m/>
    <m/>
    <m/>
    <x v="3"/>
    <n v="481068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92E515-5042-4710-B165-5CB22E300516}" name="PivotTable4" cacheId="1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
  <location ref="A41:D47" firstHeaderRow="0" firstDataRow="1" firstDataCol="1"/>
  <pivotFields count="11">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dataField="1" showAll="0"/>
    <pivotField dataField="1" showAll="0"/>
  </pivotFields>
  <rowFields count="1">
    <field x="0"/>
  </rowFields>
  <rowItems count="6">
    <i>
      <x/>
    </i>
    <i>
      <x v="1"/>
    </i>
    <i>
      <x v="2"/>
    </i>
    <i>
      <x v="3"/>
    </i>
    <i>
      <x v="4"/>
    </i>
    <i t="grand">
      <x/>
    </i>
  </rowItems>
  <colFields count="1">
    <field x="-2"/>
  </colFields>
  <colItems count="3">
    <i>
      <x/>
    </i>
    <i i="1">
      <x v="1"/>
    </i>
    <i i="2">
      <x v="2"/>
    </i>
  </colItems>
  <dataFields count="3">
    <dataField name="Sum of GP Margin" fld="8" baseField="0" baseItem="0"/>
    <dataField name="Sum of NP Margin" fld="9" baseField="0" baseItem="0"/>
    <dataField name="Sum of ROCE" fld="10" baseField="0" baseItem="0"/>
  </dataFields>
  <formats count="1">
    <format dxfId="0">
      <pivotArea outline="0" collapsedLevelsAreSubtotals="1" fieldPosition="0"/>
    </format>
  </formats>
  <chartFormats count="6">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B65270-4B5E-4AC4-82AC-5D9999843B32}" name="PivotTable3" cacheId="1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1:D37" firstHeaderRow="0" firstDataRow="1" firstDataCol="1"/>
  <pivotFields count="11">
    <pivotField axis="axisRow" showAll="0">
      <items count="6">
        <item x="0"/>
        <item x="1"/>
        <item x="2"/>
        <item x="3"/>
        <item x="4"/>
        <item t="default"/>
      </items>
    </pivotField>
    <pivotField dataField="1" showAll="0"/>
    <pivotField showAll="0"/>
    <pivotField dataField="1" showAll="0"/>
    <pivotField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Average of Revenue" fld="1" subtotal="average" baseField="0" baseItem="0"/>
    <dataField name="Average of Gross Profit" fld="3" subtotal="average" baseField="0" baseItem="0"/>
    <dataField name="Average of Net Profit" fld="7" subtotal="average"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ABF7CA-3614-410C-88F8-DABD893A7147}" name="PivotTable2" cacheId="1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10:D17" firstHeaderRow="1" firstDataRow="2" firstDataCol="1"/>
  <pivotFields count="11">
    <pivotField axis="axisRow" showAll="0">
      <items count="6">
        <item x="0"/>
        <item x="1"/>
        <item x="2"/>
        <item x="3"/>
        <item x="4"/>
        <item t="default"/>
      </items>
    </pivotField>
    <pivotField showAll="0"/>
    <pivotField showAll="0"/>
    <pivotField showAll="0"/>
    <pivotField axis="axisCol" showAll="0">
      <items count="5">
        <item x="2"/>
        <item x="1"/>
        <item x="3"/>
        <item h="1" x="0"/>
        <item t="default"/>
      </items>
    </pivotField>
    <pivotField dataField="1" showAll="0"/>
    <pivotField showAll="0"/>
    <pivotField showAll="0"/>
    <pivotField showAll="0"/>
    <pivotField showAll="0"/>
    <pivotField showAll="0"/>
  </pivotFields>
  <rowFields count="1">
    <field x="0"/>
  </rowFields>
  <rowItems count="6">
    <i>
      <x/>
    </i>
    <i>
      <x v="1"/>
    </i>
    <i>
      <x v="2"/>
    </i>
    <i>
      <x v="3"/>
    </i>
    <i>
      <x v="4"/>
    </i>
    <i t="grand">
      <x/>
    </i>
  </rowItems>
  <colFields count="1">
    <field x="4"/>
  </colFields>
  <colItems count="3">
    <i>
      <x/>
    </i>
    <i>
      <x v="1"/>
    </i>
    <i>
      <x v="2"/>
    </i>
  </colItems>
  <dataFields count="1">
    <dataField name="Sum of Opex" fld="5" baseField="0" baseItem="0"/>
  </dataFields>
  <formats count="1">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4" format="6" series="1">
      <pivotArea type="data" outline="0" fieldPosition="0">
        <references count="2">
          <reference field="4294967294" count="1" selected="0">
            <x v="0"/>
          </reference>
          <reference field="4" count="1" selected="0">
            <x v="0"/>
          </reference>
        </references>
      </pivotArea>
    </chartFormat>
    <chartFormat chart="4" format="7" series="1">
      <pivotArea type="data" outline="0" fieldPosition="0">
        <references count="2">
          <reference field="4294967294" count="1" selected="0">
            <x v="0"/>
          </reference>
          <reference field="4" count="1" selected="0">
            <x v="1"/>
          </reference>
        </references>
      </pivotArea>
    </chartFormat>
    <chartFormat chart="4"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048A48-5BE2-4931-BE4E-ACB556521471}"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E7" firstHeaderRow="0" firstDataRow="1" firstDataCol="1"/>
  <pivotFields count="11">
    <pivotField axis="axisRow" showAll="0">
      <items count="6">
        <item x="0"/>
        <item x="1"/>
        <item x="2"/>
        <item x="3"/>
        <item x="4"/>
        <item t="default"/>
      </items>
    </pivotField>
    <pivotField dataField="1" showAll="0"/>
    <pivotField dataField="1" showAll="0"/>
    <pivotField dataField="1" showAll="0"/>
    <pivotField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4">
    <i>
      <x/>
    </i>
    <i i="1">
      <x v="1"/>
    </i>
    <i i="2">
      <x v="2"/>
    </i>
    <i i="3">
      <x v="3"/>
    </i>
  </colItems>
  <dataFields count="4">
    <dataField name="Sum of Revenue" fld="1" baseField="0" baseItem="0"/>
    <dataField name="Sum of COS" fld="2" baseField="0" baseItem="0"/>
    <dataField name="Sum of Gross Profit" fld="3" baseField="0" baseItem="0"/>
    <dataField name="Sum of Net Profit" fld="7" baseField="0" baseItem="0"/>
  </dataFields>
  <formats count="1">
    <format dxfId="3">
      <pivotArea outline="0" collapsedLevelsAreSubtotals="1" fieldPosition="0"/>
    </format>
  </formats>
  <chartFormats count="4">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6C161E-FCB7-42D5-9D62-4195D9E2EF18}" name="PivotTable5" cacheId="1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5">
  <location ref="A20:B24" firstHeaderRow="1" firstDataRow="1" firstDataCol="1"/>
  <pivotFields count="11">
    <pivotField showAll="0">
      <items count="6">
        <item x="0"/>
        <item x="1"/>
        <item x="2"/>
        <item x="3"/>
        <item x="4"/>
        <item t="default"/>
      </items>
    </pivotField>
    <pivotField showAll="0"/>
    <pivotField showAll="0"/>
    <pivotField showAll="0"/>
    <pivotField axis="axisRow" showAll="0">
      <items count="5">
        <item x="2"/>
        <item x="1"/>
        <item x="3"/>
        <item h="1" x="0"/>
        <item t="default"/>
      </items>
    </pivotField>
    <pivotField dataField="1"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Opex" fld="5" baseField="0" baseItem="0"/>
  </dataFields>
  <formats count="1">
    <format dxfId="4">
      <pivotArea outline="0" collapsedLevelsAreSubtotals="1" fieldPosition="0"/>
    </format>
  </formats>
  <chartFormats count="4">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4" count="1" selected="0">
            <x v="0"/>
          </reference>
        </references>
      </pivotArea>
    </chartFormat>
    <chartFormat chart="14" format="7">
      <pivotArea type="data" outline="0" fieldPosition="0">
        <references count="2">
          <reference field="4294967294" count="1" selected="0">
            <x v="0"/>
          </reference>
          <reference field="4" count="1" selected="0">
            <x v="1"/>
          </reference>
        </references>
      </pivotArea>
    </chartFormat>
    <chartFormat chart="1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3090A18-6C85-48FB-BA49-BE730D98ABD3}" sourceName="Year">
  <pivotTables>
    <pivotTable tabId="13" name="PivotTable1"/>
    <pivotTable tabId="13" name="PivotTable2"/>
    <pivotTable tabId="13" name="PivotTable3"/>
    <pivotTable tabId="13" name="PivotTable4"/>
    <pivotTable tabId="13" name="PivotTable5"/>
  </pivotTables>
  <data>
    <tabular pivotCacheId="1371639862">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C18772C-8308-41AF-97DB-C07E07352D9D}" cache="Slicer_Year" caption="Yea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32B12A-0859-4D98-995A-A8CCCE0F376C}" name="Table1" displayName="Table1" ref="C6:M26" totalsRowShown="0">
  <autoFilter ref="C6:M26" xr:uid="{9132B12A-0859-4D98-995A-A8CCCE0F376C}"/>
  <tableColumns count="11">
    <tableColumn id="1" xr3:uid="{AAA2702B-4867-4CAA-B2E4-A2CD6B427637}" name="Year"/>
    <tableColumn id="2" xr3:uid="{E20F3CDE-BFBB-448B-AB36-DF88718D6000}" name="Revenue"/>
    <tableColumn id="3" xr3:uid="{65188B4D-73D6-4EB9-9693-F0D893CBD996}" name="COS"/>
    <tableColumn id="4" xr3:uid="{97DA8A3C-82B6-4B2B-9A68-0EEA313E7D6A}" name="Gross Profit"/>
    <tableColumn id="5" xr3:uid="{0565ABF3-0DC0-4852-817E-F89908520EE2}" name="Opex items"/>
    <tableColumn id="6" xr3:uid="{512DF0E2-FC97-45DD-92B7-CBD3B8EBEA86}" name="Opex" dataDxfId="5" dataCellStyle="Comma"/>
    <tableColumn id="7" xr3:uid="{430D5BE0-6A83-4626-81DC-E85878B21C80}" name="Operating Profit"/>
    <tableColumn id="8" xr3:uid="{2D45750A-0DDB-412E-9F57-829D97384655}" name="Net Profit"/>
    <tableColumn id="9" xr3:uid="{914C98B7-DD72-4327-9118-150653B3630D}" name="GP Margin"/>
    <tableColumn id="10" xr3:uid="{82FB9052-5166-4C88-9439-9994107327B5}" name="NP Margin"/>
    <tableColumn id="11" xr3:uid="{AAA6B50D-74AA-4B7C-826B-1A7DDAB343D5}" name="ROC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02A23-06AE-4711-BAA8-04BE379390B0}">
  <dimension ref="A1"/>
  <sheetViews>
    <sheetView tabSelected="1" workbookViewId="0">
      <selection activeCell="A14" sqref="A14"/>
    </sheetView>
  </sheetViews>
  <sheetFormatPr defaultRowHeight="14.5" x14ac:dyDescent="0.35"/>
  <cols>
    <col min="1" max="16384" width="8.7265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F8EFF-062F-4E91-9ABD-E65B429E20FF}">
  <dimension ref="C1:M52"/>
  <sheetViews>
    <sheetView showGridLines="0" workbookViewId="0">
      <selection activeCell="G16" sqref="G16:K16"/>
    </sheetView>
  </sheetViews>
  <sheetFormatPr defaultRowHeight="14.5" x14ac:dyDescent="0.35"/>
  <cols>
    <col min="7" max="7" width="14.81640625" bestFit="1" customWidth="1"/>
    <col min="8" max="8" width="12.26953125" customWidth="1"/>
    <col min="9" max="9" width="12.453125" customWidth="1"/>
    <col min="10" max="10" width="13.54296875" customWidth="1"/>
    <col min="11" max="11" width="12.453125" customWidth="1"/>
    <col min="12" max="12" width="13.26953125" customWidth="1"/>
    <col min="13" max="13" width="13.453125" customWidth="1"/>
  </cols>
  <sheetData>
    <row r="1" spans="3:13" x14ac:dyDescent="0.35">
      <c r="C1" t="s">
        <v>43</v>
      </c>
      <c r="G1" t="s">
        <v>0</v>
      </c>
      <c r="L1" t="s">
        <v>44</v>
      </c>
      <c r="M1" s="107">
        <f ca="1">TODAY()</f>
        <v>45710</v>
      </c>
    </row>
    <row r="2" spans="3:13" ht="15" thickBot="1" x14ac:dyDescent="0.4"/>
    <row r="3" spans="3:13" ht="23.5" x14ac:dyDescent="0.55000000000000004">
      <c r="C3" s="2" t="s">
        <v>1</v>
      </c>
      <c r="D3" s="3"/>
      <c r="E3" s="3"/>
      <c r="F3" s="10" t="s">
        <v>0</v>
      </c>
      <c r="G3" s="3"/>
      <c r="H3" s="3"/>
      <c r="I3" s="3"/>
      <c r="J3" s="3"/>
      <c r="K3" s="3"/>
      <c r="L3" s="3"/>
      <c r="M3" s="4"/>
    </row>
    <row r="4" spans="3:13" x14ac:dyDescent="0.35">
      <c r="C4" s="5" t="s">
        <v>2</v>
      </c>
      <c r="F4" t="s">
        <v>3</v>
      </c>
      <c r="M4" s="6"/>
    </row>
    <row r="5" spans="3:13" x14ac:dyDescent="0.35">
      <c r="C5" s="5"/>
      <c r="M5" s="6"/>
    </row>
    <row r="6" spans="3:13" x14ac:dyDescent="0.35">
      <c r="C6" s="5"/>
      <c r="M6" s="6"/>
    </row>
    <row r="7" spans="3:13" x14ac:dyDescent="0.35">
      <c r="C7" s="11" t="s">
        <v>4</v>
      </c>
      <c r="G7" s="33">
        <f>workings!$J$93</f>
        <v>147628133.33333334</v>
      </c>
      <c r="M7" s="6"/>
    </row>
    <row r="8" spans="3:13" x14ac:dyDescent="0.35">
      <c r="C8" s="11" t="s">
        <v>5</v>
      </c>
      <c r="G8" s="33">
        <f>Valuation!I28</f>
        <v>584677669.96934521</v>
      </c>
      <c r="M8" s="6"/>
    </row>
    <row r="9" spans="3:13" x14ac:dyDescent="0.35">
      <c r="C9" s="11" t="s">
        <v>6</v>
      </c>
      <c r="G9" s="33">
        <f>Valuation!I52</f>
        <v>188052722.12730601</v>
      </c>
      <c r="M9" s="6"/>
    </row>
    <row r="10" spans="3:13" x14ac:dyDescent="0.35">
      <c r="C10" s="5"/>
      <c r="M10" s="6"/>
    </row>
    <row r="11" spans="3:13" ht="15" thickBot="1" x14ac:dyDescent="0.4">
      <c r="C11" s="5"/>
      <c r="G11" s="8">
        <v>2024</v>
      </c>
      <c r="H11" s="8">
        <f>G11+1</f>
        <v>2025</v>
      </c>
      <c r="I11" s="8">
        <f t="shared" ref="I11:K11" si="0">H11+1</f>
        <v>2026</v>
      </c>
      <c r="J11" s="8">
        <f t="shared" si="0"/>
        <v>2027</v>
      </c>
      <c r="K11" s="8">
        <f t="shared" si="0"/>
        <v>2028</v>
      </c>
      <c r="M11" s="6"/>
    </row>
    <row r="12" spans="3:13" x14ac:dyDescent="0.35">
      <c r="C12" s="11" t="s">
        <v>7</v>
      </c>
      <c r="M12" s="6"/>
    </row>
    <row r="13" spans="3:13" x14ac:dyDescent="0.35">
      <c r="C13" s="5" t="s">
        <v>8</v>
      </c>
      <c r="G13" s="62">
        <f>'Income Statement'!I9</f>
        <v>380160000</v>
      </c>
      <c r="H13" s="62">
        <f>'Income Statement'!J9</f>
        <v>423705600</v>
      </c>
      <c r="I13" s="62">
        <f>'Income Statement'!K9</f>
        <v>470476800</v>
      </c>
      <c r="J13" s="62">
        <f>'Income Statement'!L9</f>
        <v>547992000</v>
      </c>
      <c r="K13" s="62">
        <f>'Income Statement'!M9</f>
        <v>620136000</v>
      </c>
      <c r="M13" s="6"/>
    </row>
    <row r="14" spans="3:13" x14ac:dyDescent="0.35">
      <c r="C14" s="5" t="s">
        <v>9</v>
      </c>
      <c r="G14" s="101">
        <f>-'Income Statement'!I10</f>
        <v>188064000</v>
      </c>
      <c r="H14" s="101">
        <f>-'Income Statement'!J10</f>
        <v>205482240</v>
      </c>
      <c r="I14" s="101">
        <f>-'Income Statement'!K10</f>
        <v>224190720</v>
      </c>
      <c r="J14" s="101">
        <f>-'Income Statement'!L10</f>
        <v>255196800</v>
      </c>
      <c r="K14" s="101">
        <f>-'Income Statement'!M10</f>
        <v>284054400</v>
      </c>
      <c r="M14" s="6"/>
    </row>
    <row r="15" spans="3:13" x14ac:dyDescent="0.35">
      <c r="C15" s="5" t="s">
        <v>10</v>
      </c>
      <c r="G15" s="62">
        <f>'Income Statement'!I12</f>
        <v>192096000</v>
      </c>
      <c r="H15" s="62">
        <f>'Income Statement'!J12</f>
        <v>218223360</v>
      </c>
      <c r="I15" s="62">
        <f>'Income Statement'!K12</f>
        <v>246286080</v>
      </c>
      <c r="J15" s="62">
        <f>'Income Statement'!L12</f>
        <v>292795200</v>
      </c>
      <c r="K15" s="62">
        <f>'Income Statement'!M12</f>
        <v>336081600</v>
      </c>
      <c r="M15" s="6"/>
    </row>
    <row r="16" spans="3:13" x14ac:dyDescent="0.35">
      <c r="C16" s="5" t="s">
        <v>11</v>
      </c>
      <c r="G16" s="101">
        <f>-'Income Statement'!I14</f>
        <v>138628000</v>
      </c>
      <c r="H16" s="101">
        <f>-'Income Statement'!J14</f>
        <v>134045280</v>
      </c>
      <c r="I16" s="101">
        <f>-'Income Statement'!K14</f>
        <v>136983840</v>
      </c>
      <c r="J16" s="101">
        <f>-'Income Statement'!L14</f>
        <v>140979600</v>
      </c>
      <c r="K16" s="101">
        <f>-'Income Statement'!M14</f>
        <v>144706800</v>
      </c>
      <c r="M16" s="6"/>
    </row>
    <row r="17" spans="3:13" x14ac:dyDescent="0.35">
      <c r="C17" s="5" t="s">
        <v>12</v>
      </c>
      <c r="G17" s="62">
        <f>'Income Statement'!I16</f>
        <v>53468000</v>
      </c>
      <c r="H17" s="62">
        <f>'Income Statement'!J16</f>
        <v>84178080</v>
      </c>
      <c r="I17" s="62">
        <f>'Income Statement'!K16</f>
        <v>109302240</v>
      </c>
      <c r="J17" s="62">
        <f>'Income Statement'!L16</f>
        <v>151815600</v>
      </c>
      <c r="K17" s="62">
        <f>'Income Statement'!M16</f>
        <v>191374800</v>
      </c>
      <c r="M17" s="6"/>
    </row>
    <row r="18" spans="3:13" x14ac:dyDescent="0.35">
      <c r="C18" s="5" t="s">
        <v>13</v>
      </c>
      <c r="G18" s="62">
        <f>'Income Statement'!I24</f>
        <v>27311915.333333336</v>
      </c>
      <c r="H18" s="62">
        <f>'Income Statement'!J24</f>
        <v>58700557.50333333</v>
      </c>
      <c r="I18" s="62">
        <f>'Income Statement'!K24</f>
        <v>79459173.13228333</v>
      </c>
      <c r="J18" s="62">
        <f>'Income Statement'!L24</f>
        <v>119365749.14535157</v>
      </c>
      <c r="K18" s="62">
        <f>'Income Statement'!M24</f>
        <v>116767951.89491376</v>
      </c>
      <c r="M18" s="6"/>
    </row>
    <row r="19" spans="3:13" x14ac:dyDescent="0.35">
      <c r="C19" s="5" t="s">
        <v>14</v>
      </c>
      <c r="G19" s="62">
        <f>'Income Statement'!I28</f>
        <v>18435542.850000001</v>
      </c>
      <c r="H19" s="62">
        <f>'Income Statement'!J28</f>
        <v>39622876.314750001</v>
      </c>
      <c r="I19" s="62">
        <f>'Income Statement'!K28</f>
        <v>53634941.864291251</v>
      </c>
      <c r="J19" s="62">
        <f>'Income Statement'!L28</f>
        <v>80571880.673112303</v>
      </c>
      <c r="K19" s="62">
        <f>'Income Statement'!M28</f>
        <v>78818367.529066786</v>
      </c>
      <c r="M19" s="6"/>
    </row>
    <row r="20" spans="3:13" x14ac:dyDescent="0.35">
      <c r="C20" s="5"/>
      <c r="M20" s="6"/>
    </row>
    <row r="21" spans="3:13" x14ac:dyDescent="0.35">
      <c r="C21" s="12" t="s">
        <v>15</v>
      </c>
      <c r="M21" s="6"/>
    </row>
    <row r="22" spans="3:13" x14ac:dyDescent="0.35">
      <c r="C22" s="5" t="s">
        <v>16</v>
      </c>
      <c r="G22" s="33">
        <f>'Balance sheet'!I13</f>
        <v>77283333.333333328</v>
      </c>
      <c r="H22" s="33">
        <f>'Balance sheet'!J13</f>
        <v>61566666.666666672</v>
      </c>
      <c r="I22" s="33">
        <f>'Balance sheet'!K13</f>
        <v>64850000</v>
      </c>
      <c r="J22" s="33">
        <f>'Balance sheet'!L13</f>
        <v>56933333.333333328</v>
      </c>
      <c r="K22" s="33">
        <f>'Balance sheet'!M13</f>
        <v>42516666.666666672</v>
      </c>
      <c r="M22" s="6"/>
    </row>
    <row r="23" spans="3:13" x14ac:dyDescent="0.35">
      <c r="C23" s="5" t="s">
        <v>17</v>
      </c>
      <c r="G23" s="33">
        <f>'Balance sheet'!I19</f>
        <v>164252315.33333334</v>
      </c>
      <c r="H23" s="33">
        <f>'Balance sheet'!J19</f>
        <v>226487082.45000002</v>
      </c>
      <c r="I23" s="33">
        <f>'Balance sheet'!K19</f>
        <v>276069913.79741669</v>
      </c>
      <c r="J23" s="33">
        <f>'Balance sheet'!L19</f>
        <v>367479367.9685846</v>
      </c>
      <c r="K23" s="33">
        <f>'Balance sheet'!M19</f>
        <v>444387001.92330331</v>
      </c>
      <c r="M23" s="6"/>
    </row>
    <row r="24" spans="3:13" x14ac:dyDescent="0.35">
      <c r="C24" s="11" t="s">
        <v>18</v>
      </c>
      <c r="G24" s="33">
        <f>'Balance sheet'!I21</f>
        <v>241535648.66666669</v>
      </c>
      <c r="H24" s="33">
        <f>'Balance sheet'!J21</f>
        <v>288053749.11666667</v>
      </c>
      <c r="I24" s="33">
        <f>'Balance sheet'!K21</f>
        <v>340919913.79741669</v>
      </c>
      <c r="J24" s="33">
        <f>'Balance sheet'!L21</f>
        <v>424412701.30191791</v>
      </c>
      <c r="K24" s="33">
        <f>'Balance sheet'!M21</f>
        <v>486903668.58996999</v>
      </c>
      <c r="M24" s="6"/>
    </row>
    <row r="25" spans="3:13" x14ac:dyDescent="0.35">
      <c r="C25" s="11" t="s">
        <v>19</v>
      </c>
      <c r="G25" s="33">
        <f>'Balance sheet'!I21-'Balance sheet'!I41</f>
        <v>162376567.61333334</v>
      </c>
      <c r="H25" s="33">
        <f>'Balance sheet'!J21-'Balance sheet'!J41</f>
        <v>194074868.66513336</v>
      </c>
      <c r="I25" s="33">
        <f>'Balance sheet'!K21-'Balance sheet'!K41</f>
        <v>236982822.15656635</v>
      </c>
      <c r="J25" s="33">
        <f>'Balance sheet'!L21-'Balance sheet'!L41</f>
        <v>301440326.6950562</v>
      </c>
      <c r="K25" s="33">
        <f>'Balance sheet'!M21-'Balance sheet'!M41</f>
        <v>364495020.71830964</v>
      </c>
      <c r="M25" s="6"/>
    </row>
    <row r="26" spans="3:13" x14ac:dyDescent="0.35">
      <c r="C26" s="5"/>
      <c r="M26" s="6"/>
    </row>
    <row r="27" spans="3:13" x14ac:dyDescent="0.35">
      <c r="C27" s="11" t="s">
        <v>20</v>
      </c>
      <c r="G27" s="33">
        <f>'Balance sheet'!I26</f>
        <v>162376567.61333334</v>
      </c>
      <c r="H27" s="33">
        <f>'Balance sheet'!J26</f>
        <v>194074868.66513336</v>
      </c>
      <c r="I27" s="33">
        <f>'Balance sheet'!K26</f>
        <v>236982822.15656635</v>
      </c>
      <c r="J27" s="33">
        <f>'Balance sheet'!L26</f>
        <v>301440326.6950562</v>
      </c>
      <c r="K27" s="33">
        <f>'Balance sheet'!M26</f>
        <v>364495020.71830964</v>
      </c>
      <c r="M27" s="6"/>
    </row>
    <row r="28" spans="3:13" x14ac:dyDescent="0.35">
      <c r="C28" s="5" t="s">
        <v>21</v>
      </c>
      <c r="G28" s="33">
        <f>'Balance sheet'!I32</f>
        <v>59156702</v>
      </c>
      <c r="H28" s="33">
        <f>'Balance sheet'!J32</f>
        <v>55311516.370000005</v>
      </c>
      <c r="I28" s="33">
        <f>'Balance sheet'!K32</f>
        <v>51716267.805950008</v>
      </c>
      <c r="J28" s="33">
        <f>'Balance sheet'!L32</f>
        <v>48354710.398563251</v>
      </c>
      <c r="K28" s="33">
        <f>'Balance sheet'!M32</f>
        <v>0</v>
      </c>
      <c r="M28" s="6"/>
    </row>
    <row r="29" spans="3:13" x14ac:dyDescent="0.35">
      <c r="C29" s="5" t="s">
        <v>22</v>
      </c>
      <c r="G29" s="33">
        <f>'Balance sheet'!I39</f>
        <v>20002379.053333335</v>
      </c>
      <c r="H29" s="33">
        <f>'Balance sheet'!J39</f>
        <v>38667364.081533328</v>
      </c>
      <c r="I29" s="33">
        <f>'Balance sheet'!K39</f>
        <v>52220823.834900327</v>
      </c>
      <c r="J29" s="33">
        <f>'Balance sheet'!L39</f>
        <v>74617664.208298475</v>
      </c>
      <c r="K29" s="33">
        <f>'Balance sheet'!M39</f>
        <v>122408647.87166034</v>
      </c>
      <c r="M29" s="6"/>
    </row>
    <row r="30" spans="3:13" x14ac:dyDescent="0.35">
      <c r="C30" s="11" t="s">
        <v>23</v>
      </c>
      <c r="G30" s="33">
        <f>'Balance sheet'!I43</f>
        <v>241535648.66666669</v>
      </c>
      <c r="H30" s="33">
        <f>'Balance sheet'!J43</f>
        <v>288053749.11666667</v>
      </c>
      <c r="I30" s="33">
        <f>'Balance sheet'!K43</f>
        <v>340919913.79741669</v>
      </c>
      <c r="J30" s="33">
        <f>'Balance sheet'!L43</f>
        <v>424412701.30191791</v>
      </c>
      <c r="K30" s="33">
        <f>'Balance sheet'!M43</f>
        <v>486903668.58996999</v>
      </c>
      <c r="M30" s="6"/>
    </row>
    <row r="31" spans="3:13" x14ac:dyDescent="0.35">
      <c r="C31" s="5"/>
      <c r="M31" s="6"/>
    </row>
    <row r="32" spans="3:13" x14ac:dyDescent="0.35">
      <c r="C32" s="11" t="s">
        <v>24</v>
      </c>
      <c r="M32" s="6"/>
    </row>
    <row r="33" spans="3:13" x14ac:dyDescent="0.35">
      <c r="C33" s="5" t="s">
        <v>25</v>
      </c>
      <c r="G33" s="33">
        <f>Cashflows!I21</f>
        <v>3442399.9999999995</v>
      </c>
      <c r="H33" s="33">
        <f>Cashflows!J21</f>
        <v>70602411.516666666</v>
      </c>
      <c r="I33" s="33">
        <f>Cashflows!K21</f>
        <v>85177166.811416671</v>
      </c>
      <c r="J33" s="33">
        <f>Cashflows!L21</f>
        <v>117626186.73200792</v>
      </c>
      <c r="K33" s="33">
        <f>Cashflows!M21</f>
        <v>144795391.52776074</v>
      </c>
      <c r="M33" s="6"/>
    </row>
    <row r="34" spans="3:13" x14ac:dyDescent="0.35">
      <c r="C34" s="5" t="s">
        <v>26</v>
      </c>
      <c r="G34" s="33">
        <f>Cashflows!I26</f>
        <v>-93000000</v>
      </c>
      <c r="H34" s="33">
        <f>Cashflows!J26</f>
        <v>0</v>
      </c>
      <c r="I34" s="33">
        <f>Cashflows!K26</f>
        <v>-24000000</v>
      </c>
      <c r="J34" s="33">
        <f>Cashflows!L26</f>
        <v>-16000000</v>
      </c>
      <c r="K34" s="33">
        <f>Cashflows!M26</f>
        <v>-7000000</v>
      </c>
      <c r="M34" s="6"/>
    </row>
    <row r="35" spans="3:13" x14ac:dyDescent="0.35">
      <c r="C35" s="5" t="s">
        <v>27</v>
      </c>
      <c r="G35" s="33">
        <f>Cashflows!I36</f>
        <v>200457915.33333334</v>
      </c>
      <c r="H35" s="33">
        <f>Cashflows!J36</f>
        <v>-13447964.4</v>
      </c>
      <c r="I35" s="33">
        <f>Cashflows!K36</f>
        <v>-17050975.464000002</v>
      </c>
      <c r="J35" s="33">
        <f>Cashflows!L36</f>
        <v>-19260172.560840003</v>
      </c>
      <c r="K35" s="33">
        <f>Cashflows!M36</f>
        <v>-69304557.573042035</v>
      </c>
      <c r="M35" s="6"/>
    </row>
    <row r="36" spans="3:13" x14ac:dyDescent="0.35">
      <c r="C36" s="11" t="s">
        <v>28</v>
      </c>
      <c r="G36" s="33">
        <f>Cashflows!I40</f>
        <v>110900315.33333334</v>
      </c>
      <c r="H36" s="33">
        <f>Cashflows!J40</f>
        <v>168054762.45000002</v>
      </c>
      <c r="I36" s="33">
        <f>Cashflows!K40</f>
        <v>212180953.79741669</v>
      </c>
      <c r="J36" s="33">
        <f>Cashflows!L40</f>
        <v>294546967.9685846</v>
      </c>
      <c r="K36" s="33">
        <f>Cashflows!M40</f>
        <v>363037801.92330331</v>
      </c>
      <c r="M36" s="6"/>
    </row>
    <row r="37" spans="3:13" x14ac:dyDescent="0.35">
      <c r="C37" s="11" t="s">
        <v>29</v>
      </c>
      <c r="G37" s="33">
        <f>Valuation!I20</f>
        <v>-101826783.33333334</v>
      </c>
      <c r="H37" s="33">
        <f>Valuation!J20</f>
        <v>57228824.666666664</v>
      </c>
      <c r="I37" s="33">
        <f>Valuation!K20</f>
        <v>51464536.666666672</v>
      </c>
      <c r="J37" s="33">
        <f>Valuation!L20</f>
        <v>85883264.666666657</v>
      </c>
      <c r="K37" s="33">
        <f>Valuation!M20</f>
        <v>121352866.66666669</v>
      </c>
      <c r="M37" s="6"/>
    </row>
    <row r="38" spans="3:13" x14ac:dyDescent="0.35">
      <c r="C38" s="5"/>
      <c r="M38" s="6"/>
    </row>
    <row r="39" spans="3:13" x14ac:dyDescent="0.35">
      <c r="C39" s="11" t="s">
        <v>31</v>
      </c>
      <c r="M39" s="6"/>
    </row>
    <row r="40" spans="3:13" x14ac:dyDescent="0.35">
      <c r="C40" s="5" t="s">
        <v>32</v>
      </c>
      <c r="G40" s="29">
        <f>'Financial ratio'!I9</f>
        <v>0.50530303030303025</v>
      </c>
      <c r="H40" s="29">
        <f>'Financial ratio'!J9</f>
        <v>0.51503534529635675</v>
      </c>
      <c r="I40" s="29">
        <f>'Financial ratio'!K9</f>
        <v>0.52348188050930455</v>
      </c>
      <c r="J40" s="29">
        <f>'Financial ratio'!L9</f>
        <v>0.53430561030088031</v>
      </c>
      <c r="K40" s="29">
        <f>'Financial ratio'!M9</f>
        <v>0.54194821781028679</v>
      </c>
      <c r="M40" s="6"/>
    </row>
    <row r="41" spans="3:13" x14ac:dyDescent="0.35">
      <c r="C41" s="5" t="s">
        <v>33</v>
      </c>
      <c r="G41" s="29">
        <f>'Financial ratio'!I10</f>
        <v>0.14064604377104378</v>
      </c>
      <c r="H41" s="29">
        <f>'Financial ratio'!J10</f>
        <v>0.19867115280043501</v>
      </c>
      <c r="I41" s="29">
        <f>'Financial ratio'!K10</f>
        <v>0.23232227391446295</v>
      </c>
      <c r="J41" s="29">
        <f>'Financial ratio'!L10</f>
        <v>0.27703981080015766</v>
      </c>
      <c r="K41" s="29">
        <f>'Financial ratio'!M10</f>
        <v>0.3086013390611092</v>
      </c>
      <c r="M41" s="6"/>
    </row>
    <row r="42" spans="3:13" x14ac:dyDescent="0.35">
      <c r="C42" s="5" t="s">
        <v>34</v>
      </c>
      <c r="G42" s="29">
        <f>'Financial ratio'!I11</f>
        <v>4.8494167850378793E-2</v>
      </c>
      <c r="H42" s="29">
        <f>'Financial ratio'!J11</f>
        <v>9.3515111234663884E-2</v>
      </c>
      <c r="I42" s="29">
        <f>'Financial ratio'!K11</f>
        <v>0.1140012469568983</v>
      </c>
      <c r="J42" s="29">
        <f>'Financial ratio'!L11</f>
        <v>0.14703112577028918</v>
      </c>
      <c r="K42" s="29">
        <f>'Financial ratio'!M11</f>
        <v>0.12709851956517085</v>
      </c>
      <c r="M42" s="6"/>
    </row>
    <row r="43" spans="3:13" x14ac:dyDescent="0.35">
      <c r="C43" s="5" t="s">
        <v>35</v>
      </c>
      <c r="G43" s="29">
        <f>'Financial ratio'!I13</f>
        <v>0.11353573437948562</v>
      </c>
      <c r="H43" s="29">
        <f>'Financial ratio'!J13</f>
        <v>0.20416283977044614</v>
      </c>
      <c r="I43" s="29">
        <f>'Financial ratio'!K13</f>
        <v>0.22632417563521334</v>
      </c>
      <c r="J43" s="29">
        <f>'Financial ratio'!L13</f>
        <v>0.26728965416302986</v>
      </c>
      <c r="K43" s="29">
        <f>'Financial ratio'!M13</f>
        <v>0.21623990191618964</v>
      </c>
      <c r="M43" s="6"/>
    </row>
    <row r="44" spans="3:13" x14ac:dyDescent="0.35">
      <c r="C44" s="5" t="s">
        <v>36</v>
      </c>
      <c r="G44" s="29">
        <f>'Financial ratio'!I14</f>
        <v>7.6326384745972337E-2</v>
      </c>
      <c r="H44" s="29">
        <f>'Financial ratio'!J14</f>
        <v>0.13755376014461129</v>
      </c>
      <c r="I44" s="29">
        <f>'Financial ratio'!K14</f>
        <v>0.15732416820967079</v>
      </c>
      <c r="J44" s="29">
        <f>'Financial ratio'!L14</f>
        <v>0.18984323613773102</v>
      </c>
      <c r="K44" s="29">
        <f>'Financial ratio'!M14</f>
        <v>0.16187671733367262</v>
      </c>
      <c r="M44" s="6"/>
    </row>
    <row r="45" spans="3:13" x14ac:dyDescent="0.35">
      <c r="C45" s="5" t="s">
        <v>37</v>
      </c>
      <c r="G45" s="29">
        <f>'Financial ratio'!I22</f>
        <v>0.38964489106989064</v>
      </c>
      <c r="H45" s="29">
        <f>'Financial ratio'!J22</f>
        <v>0.32600408509959056</v>
      </c>
      <c r="I45" s="29">
        <f>'Financial ratio'!K22</f>
        <v>0.26697800044848918</v>
      </c>
      <c r="J45" s="29">
        <f>'Financial ratio'!L22</f>
        <v>0.20988963452127804</v>
      </c>
      <c r="K45" s="29">
        <f>'Financial ratio'!M22</f>
        <v>0.1735804233355932</v>
      </c>
      <c r="M45" s="6"/>
    </row>
    <row r="46" spans="3:13" x14ac:dyDescent="0.35">
      <c r="C46" s="5" t="s">
        <v>38</v>
      </c>
      <c r="G46" s="29">
        <f>'Financial ratio'!I23</f>
        <v>0.67226750382268619</v>
      </c>
      <c r="H46" s="29">
        <f>'Financial ratio'!J23</f>
        <v>0.6737453314191364</v>
      </c>
      <c r="I46" s="29">
        <f>'Financial ratio'!K23</f>
        <v>0.69512754334845805</v>
      </c>
      <c r="J46" s="29">
        <f>'Financial ratio'!L23</f>
        <v>0.71025284062038041</v>
      </c>
      <c r="K46" s="29">
        <f>'Financial ratio'!M23</f>
        <v>0.74859781150110249</v>
      </c>
      <c r="M46" s="6"/>
    </row>
    <row r="47" spans="3:13" x14ac:dyDescent="0.35">
      <c r="C47" s="5" t="s">
        <v>39</v>
      </c>
      <c r="G47" s="29">
        <f>'Financial ratio'!I24</f>
        <v>0.26194559829681785</v>
      </c>
      <c r="H47" s="29">
        <f>'Financial ratio'!J24</f>
        <v>0.21964373035941601</v>
      </c>
      <c r="I47" s="29">
        <f>'Financial ratio'!K24</f>
        <v>0.1855837615798418</v>
      </c>
      <c r="J47" s="29">
        <f>'Financial ratio'!L24</f>
        <v>0.14907470913551119</v>
      </c>
      <c r="K47" s="29">
        <f>'Financial ratio'!M24</f>
        <v>0.12994192502845997</v>
      </c>
      <c r="M47" s="6"/>
    </row>
    <row r="48" spans="3:13" x14ac:dyDescent="0.35">
      <c r="C48" s="5" t="s">
        <v>40</v>
      </c>
      <c r="G48" s="81">
        <f>'Financial ratio'!I17</f>
        <v>8.2116389703134445</v>
      </c>
      <c r="H48" s="81">
        <f>'Financial ratio'!J17</f>
        <v>5.8573189000531123</v>
      </c>
      <c r="I48" s="81">
        <f>'Financial ratio'!K17</f>
        <v>5.2865867200837435</v>
      </c>
      <c r="J48" s="81">
        <f>'Financial ratio'!L17</f>
        <v>4.92483076048521</v>
      </c>
      <c r="K48" s="81">
        <f>'Financial ratio'!M17</f>
        <v>3.6303562668972704</v>
      </c>
      <c r="M48" s="6"/>
    </row>
    <row r="49" spans="3:13" x14ac:dyDescent="0.35">
      <c r="C49" s="5" t="s">
        <v>41</v>
      </c>
      <c r="G49" s="81">
        <f>'Financial ratio'!I18</f>
        <v>5.8611185709829989</v>
      </c>
      <c r="H49" s="81">
        <f>'Financial ratio'!J18</f>
        <v>4.5287938965984953</v>
      </c>
      <c r="I49" s="81">
        <f>'Financial ratio'!K18</f>
        <v>4.2133045333224137</v>
      </c>
      <c r="J49" s="81">
        <f>'Financial ratio'!L18</f>
        <v>4.0698160575068139</v>
      </c>
      <c r="K49" s="81">
        <f>'Financial ratio'!M18</f>
        <v>3.0502207843580433</v>
      </c>
      <c r="M49" s="6"/>
    </row>
    <row r="50" spans="3:13" x14ac:dyDescent="0.35">
      <c r="C50" s="5" t="s">
        <v>42</v>
      </c>
      <c r="G50" s="81">
        <f>'Financial ratio'!I19</f>
        <v>5.5443562507056949</v>
      </c>
      <c r="H50" s="81">
        <f>'Financial ratio'!J19</f>
        <v>4.3461654664549334</v>
      </c>
      <c r="I50" s="81">
        <f>'Financial ratio'!K19</f>
        <v>4.0631483422827861</v>
      </c>
      <c r="J50" s="81">
        <f>'Financial ratio'!L19</f>
        <v>3.9474160856381655</v>
      </c>
      <c r="K50" s="81">
        <f>'Financial ratio'!M19</f>
        <v>2.9657855734500984</v>
      </c>
      <c r="M50" s="6"/>
    </row>
    <row r="51" spans="3:13" x14ac:dyDescent="0.35">
      <c r="C51" s="5" t="s">
        <v>277</v>
      </c>
      <c r="G51" s="81">
        <f>'Financial ratio'!I25</f>
        <v>3.6162296914764154</v>
      </c>
      <c r="H51" s="81">
        <f>'Financial ratio'!J25</f>
        <v>7.0138740419581964</v>
      </c>
      <c r="I51" s="81">
        <f>'Financial ratio'!K25</f>
        <v>9.7065186033745796</v>
      </c>
      <c r="J51" s="81">
        <f>'Financial ratio'!L25</f>
        <v>14.988418217137264</v>
      </c>
      <c r="K51" s="81">
        <f>'Financial ratio'!M25</f>
        <v>3.195291475553637</v>
      </c>
      <c r="M51" s="6"/>
    </row>
    <row r="52" spans="3:13" ht="15" thickBot="1" x14ac:dyDescent="0.4">
      <c r="C52" s="7"/>
      <c r="D52" s="8"/>
      <c r="E52" s="8"/>
      <c r="F52" s="8"/>
      <c r="G52" s="8"/>
      <c r="H52" s="8"/>
      <c r="I52" s="8"/>
      <c r="J52" s="8"/>
      <c r="K52" s="8"/>
      <c r="L52" s="8"/>
      <c r="M52" s="9"/>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Drop Down 1">
              <controlPr defaultSize="0" autoLine="0" autoPict="0">
                <anchor moveWithCells="1">
                  <from>
                    <xdr:col>3</xdr:col>
                    <xdr:colOff>152400</xdr:colOff>
                    <xdr:row>0</xdr:row>
                    <xdr:rowOff>6350</xdr:rowOff>
                  </from>
                  <to>
                    <xdr:col>5</xdr:col>
                    <xdr:colOff>146050</xdr:colOff>
                    <xdr:row>1</xdr:row>
                    <xdr:rowOff>76200</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displayEmptyCellsAs="gap" xr2:uid="{1459E072-D8C4-4296-93C5-FEF0FF229918}">
          <x14:colorSeries rgb="FF376092"/>
          <x14:colorNegative rgb="FFD00000"/>
          <x14:colorAxis rgb="FF000000"/>
          <x14:colorMarkers rgb="FFD00000"/>
          <x14:colorFirst rgb="FFD00000"/>
          <x14:colorLast rgb="FFD00000"/>
          <x14:colorHigh rgb="FFD00000"/>
          <x14:colorLow rgb="FFD00000"/>
          <x14:sparklines>
            <x14:sparkline>
              <xm:f>'Summary page'!G13:K13</xm:f>
              <xm:sqref>L13</xm:sqref>
            </x14:sparkline>
            <x14:sparkline>
              <xm:f>'Summary page'!G14:K14</xm:f>
              <xm:sqref>L14</xm:sqref>
            </x14:sparkline>
            <x14:sparkline>
              <xm:f>'Summary page'!G15:K15</xm:f>
              <xm:sqref>L15</xm:sqref>
            </x14:sparkline>
            <x14:sparkline>
              <xm:f>'Summary page'!G16:K16</xm:f>
              <xm:sqref>L16</xm:sqref>
            </x14:sparkline>
            <x14:sparkline>
              <xm:f>'Summary page'!G17:K17</xm:f>
              <xm:sqref>L17</xm:sqref>
            </x14:sparkline>
            <x14:sparkline>
              <xm:f>'Summary page'!G18:K18</xm:f>
              <xm:sqref>L18</xm:sqref>
            </x14:sparkline>
            <x14:sparkline>
              <xm:f>'Summary page'!G19:K19</xm:f>
              <xm:sqref>L19</xm:sqref>
            </x14:sparkline>
          </x14:sparklines>
        </x14:sparklineGroup>
        <x14:sparklineGroup displayEmptyCellsAs="gap" xr2:uid="{A001515D-1BF4-4F6C-B1D0-C89585F558D3}">
          <x14:colorSeries rgb="FF376092"/>
          <x14:colorNegative rgb="FFD00000"/>
          <x14:colorAxis rgb="FF000000"/>
          <x14:colorMarkers rgb="FFD00000"/>
          <x14:colorFirst rgb="FFD00000"/>
          <x14:colorLast rgb="FFD00000"/>
          <x14:colorHigh rgb="FFD00000"/>
          <x14:colorLow rgb="FFD00000"/>
          <x14:sparklines>
            <x14:sparkline>
              <xm:f>'Summary page'!G22:K22</xm:f>
              <xm:sqref>L22</xm:sqref>
            </x14:sparkline>
            <x14:sparkline>
              <xm:f>'Summary page'!G23:K23</xm:f>
              <xm:sqref>L23</xm:sqref>
            </x14:sparkline>
            <x14:sparkline>
              <xm:f>'Summary page'!G24:K24</xm:f>
              <xm:sqref>L24</xm:sqref>
            </x14:sparkline>
            <x14:sparkline>
              <xm:f>'Summary page'!G25:K25</xm:f>
              <xm:sqref>L25</xm:sqref>
            </x14:sparkline>
            <x14:sparkline>
              <xm:f>'Summary page'!G26:K26</xm:f>
              <xm:sqref>L26</xm:sqref>
            </x14:sparkline>
            <x14:sparkline>
              <xm:f>'Summary page'!G27:K27</xm:f>
              <xm:sqref>L27</xm:sqref>
            </x14:sparkline>
            <x14:sparkline>
              <xm:f>'Summary page'!G28:K28</xm:f>
              <xm:sqref>L28</xm:sqref>
            </x14:sparkline>
            <x14:sparkline>
              <xm:f>'Summary page'!G29:K29</xm:f>
              <xm:sqref>L29</xm:sqref>
            </x14:sparkline>
            <x14:sparkline>
              <xm:f>'Summary page'!G30:K30</xm:f>
              <xm:sqref>L30</xm:sqref>
            </x14:sparkline>
          </x14:sparklines>
        </x14:sparklineGroup>
        <x14:sparklineGroup displayEmptyCellsAs="gap" xr2:uid="{6C056410-23C5-4CD8-B805-0B2E1011B235}">
          <x14:colorSeries rgb="FF376092"/>
          <x14:colorNegative rgb="FFD00000"/>
          <x14:colorAxis rgb="FF000000"/>
          <x14:colorMarkers rgb="FFD00000"/>
          <x14:colorFirst rgb="FFD00000"/>
          <x14:colorLast rgb="FFD00000"/>
          <x14:colorHigh rgb="FFD00000"/>
          <x14:colorLow rgb="FFD00000"/>
          <x14:sparklines>
            <x14:sparkline>
              <xm:f>'Summary page'!G33:K33</xm:f>
              <xm:sqref>L33</xm:sqref>
            </x14:sparkline>
            <x14:sparkline>
              <xm:f>'Summary page'!G34:K34</xm:f>
              <xm:sqref>L34</xm:sqref>
            </x14:sparkline>
            <x14:sparkline>
              <xm:f>'Summary page'!G35:K35</xm:f>
              <xm:sqref>L35</xm:sqref>
            </x14:sparkline>
            <x14:sparkline>
              <xm:f>'Summary page'!G36:K36</xm:f>
              <xm:sqref>L36</xm:sqref>
            </x14:sparkline>
            <x14:sparkline>
              <xm:f>'Summary page'!G37:K37</xm:f>
              <xm:sqref>L37</xm:sqref>
            </x14:sparkline>
          </x14:sparklines>
        </x14:sparklineGroup>
        <x14:sparklineGroup displayEmptyCellsAs="gap" xr2:uid="{3CFC6EC5-A18B-468B-BE49-C3547EA2C704}">
          <x14:colorSeries rgb="FF376092"/>
          <x14:colorNegative rgb="FFD00000"/>
          <x14:colorAxis rgb="FF000000"/>
          <x14:colorMarkers rgb="FFD00000"/>
          <x14:colorFirst rgb="FFD00000"/>
          <x14:colorLast rgb="FFD00000"/>
          <x14:colorHigh rgb="FFD00000"/>
          <x14:colorLow rgb="FFD00000"/>
          <x14:sparklines>
            <x14:sparkline>
              <xm:f>'Summary page'!G40:K40</xm:f>
              <xm:sqref>L40</xm:sqref>
            </x14:sparkline>
            <x14:sparkline>
              <xm:f>'Summary page'!G41:K41</xm:f>
              <xm:sqref>L41</xm:sqref>
            </x14:sparkline>
            <x14:sparkline>
              <xm:f>'Summary page'!G42:K42</xm:f>
              <xm:sqref>L42</xm:sqref>
            </x14:sparkline>
            <x14:sparkline>
              <xm:f>'Summary page'!G43:K43</xm:f>
              <xm:sqref>L43</xm:sqref>
            </x14:sparkline>
            <x14:sparkline>
              <xm:f>'Summary page'!G44:K44</xm:f>
              <xm:sqref>L44</xm:sqref>
            </x14:sparkline>
            <x14:sparkline>
              <xm:f>'Summary page'!G45:K45</xm:f>
              <xm:sqref>L45</xm:sqref>
            </x14:sparkline>
            <x14:sparkline>
              <xm:f>'Summary page'!G46:K46</xm:f>
              <xm:sqref>L46</xm:sqref>
            </x14:sparkline>
            <x14:sparkline>
              <xm:f>'Summary page'!G47:K47</xm:f>
              <xm:sqref>L47</xm:sqref>
            </x14:sparkline>
            <x14:sparkline>
              <xm:f>'Summary page'!G48:K48</xm:f>
              <xm:sqref>L48</xm:sqref>
            </x14:sparkline>
            <x14:sparkline>
              <xm:f>'Summary page'!G49:K49</xm:f>
              <xm:sqref>L49</xm:sqref>
            </x14:sparkline>
            <x14:sparkline>
              <xm:f>'Summary page'!G50:K50</xm:f>
              <xm:sqref>L50</xm:sqref>
            </x14:sparkline>
            <x14:sparkline>
              <xm:f>'Summary page'!G51:K51</xm:f>
              <xm:sqref>L51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8E7C-BDD8-4035-B683-931E8E31ECB3}">
  <dimension ref="C1:M17"/>
  <sheetViews>
    <sheetView showGridLines="0" workbookViewId="0">
      <selection activeCell="M2" sqref="M2"/>
    </sheetView>
  </sheetViews>
  <sheetFormatPr defaultRowHeight="14.5" x14ac:dyDescent="0.35"/>
  <cols>
    <col min="4" max="4" width="27" customWidth="1"/>
    <col min="5" max="5" width="8.81640625" customWidth="1"/>
    <col min="12" max="12" width="12" customWidth="1"/>
    <col min="13" max="13" width="10.08984375" bestFit="1" customWidth="1"/>
  </cols>
  <sheetData>
    <row r="1" spans="3:13" x14ac:dyDescent="0.35">
      <c r="C1" t="s">
        <v>43</v>
      </c>
      <c r="G1" t="s">
        <v>0</v>
      </c>
      <c r="L1" t="s">
        <v>44</v>
      </c>
      <c r="M1" s="107">
        <f ca="1">TODAY()</f>
        <v>45710</v>
      </c>
    </row>
    <row r="3" spans="3:13" ht="47.5" x14ac:dyDescent="1.1000000000000001">
      <c r="C3" s="20" t="s">
        <v>45</v>
      </c>
      <c r="D3" s="15"/>
      <c r="E3" s="19"/>
      <c r="F3" s="19"/>
      <c r="G3" s="19"/>
      <c r="H3" s="19"/>
      <c r="I3" s="19"/>
      <c r="J3" s="15"/>
      <c r="K3" s="15"/>
      <c r="L3" s="15"/>
      <c r="M3" s="15"/>
    </row>
    <row r="4" spans="3:13" ht="21" x14ac:dyDescent="0.5">
      <c r="C4" s="15"/>
      <c r="D4" s="15"/>
      <c r="E4" s="19"/>
      <c r="F4" s="19"/>
      <c r="G4" s="19"/>
      <c r="H4" s="19"/>
      <c r="I4" s="19"/>
      <c r="J4" s="15"/>
      <c r="K4" s="15"/>
      <c r="L4" s="15"/>
      <c r="M4" s="15"/>
    </row>
    <row r="6" spans="3:13" ht="24" thickBot="1" x14ac:dyDescent="0.6">
      <c r="C6" s="16" t="s">
        <v>46</v>
      </c>
      <c r="D6" s="16" t="s">
        <v>47</v>
      </c>
      <c r="E6" s="17"/>
    </row>
    <row r="7" spans="3:13" ht="24" thickTop="1" x14ac:dyDescent="0.55000000000000004">
      <c r="C7" s="17">
        <v>1</v>
      </c>
      <c r="D7" s="18" t="s">
        <v>48</v>
      </c>
      <c r="E7" s="17"/>
    </row>
    <row r="8" spans="3:13" ht="23.5" x14ac:dyDescent="0.55000000000000004">
      <c r="C8" s="17">
        <v>2</v>
      </c>
      <c r="D8" s="18" t="s">
        <v>49</v>
      </c>
      <c r="E8" s="17"/>
    </row>
    <row r="9" spans="3:13" ht="23.5" x14ac:dyDescent="0.55000000000000004">
      <c r="C9" s="17">
        <v>3</v>
      </c>
      <c r="D9" s="18" t="s">
        <v>50</v>
      </c>
      <c r="E9" s="17"/>
    </row>
    <row r="10" spans="3:13" ht="23.5" x14ac:dyDescent="0.55000000000000004">
      <c r="C10" s="17">
        <v>4</v>
      </c>
      <c r="D10" s="18" t="s">
        <v>7</v>
      </c>
      <c r="E10" s="17"/>
    </row>
    <row r="11" spans="3:13" ht="23.5" x14ac:dyDescent="0.55000000000000004">
      <c r="C11" s="17">
        <v>5</v>
      </c>
      <c r="D11" s="18" t="s">
        <v>15</v>
      </c>
      <c r="E11" s="17"/>
    </row>
    <row r="12" spans="3:13" ht="23.5" x14ac:dyDescent="0.55000000000000004">
      <c r="C12" s="17">
        <v>6</v>
      </c>
      <c r="D12" s="18" t="s">
        <v>51</v>
      </c>
      <c r="E12" s="17"/>
    </row>
    <row r="13" spans="3:13" ht="23.5" x14ac:dyDescent="0.55000000000000004">
      <c r="C13" s="17">
        <v>7</v>
      </c>
      <c r="D13" s="18" t="s">
        <v>53</v>
      </c>
      <c r="E13" s="17"/>
    </row>
    <row r="14" spans="3:13" ht="23.5" x14ac:dyDescent="0.55000000000000004">
      <c r="C14" s="17">
        <v>8</v>
      </c>
      <c r="D14" s="18" t="s">
        <v>30</v>
      </c>
      <c r="E14" s="17"/>
    </row>
    <row r="15" spans="3:13" ht="23.5" x14ac:dyDescent="0.55000000000000004">
      <c r="C15" s="17">
        <v>9</v>
      </c>
      <c r="D15" s="18" t="s">
        <v>52</v>
      </c>
      <c r="E15" s="17"/>
    </row>
    <row r="16" spans="3:13" ht="23.5" x14ac:dyDescent="0.55000000000000004">
      <c r="C16" s="17"/>
      <c r="D16" s="17"/>
      <c r="E16" s="17"/>
    </row>
    <row r="17" spans="3:5" ht="23.5" x14ac:dyDescent="0.55000000000000004">
      <c r="C17" s="17"/>
      <c r="D17" s="17"/>
      <c r="E17" s="17"/>
    </row>
  </sheetData>
  <hyperlinks>
    <hyperlink ref="D7" location="Dashboard!A1" display="Dashboard" xr:uid="{CB064B47-9BB3-4321-8B5B-14F4B32A5368}"/>
    <hyperlink ref="D8" location="'Input data'!A1" display="Input data" xr:uid="{5B110AA4-D99E-429B-9813-AA0132ADD00D}"/>
    <hyperlink ref="D9" location="workings!A1" display="workings" xr:uid="{4D1737F3-B30F-4579-9D62-F96F0462E6E4}"/>
    <hyperlink ref="D10" location="'Income Statement'!A1" display="Income Statement" xr:uid="{7CB8347C-A8D2-49D8-A67B-05510EAA3F4C}"/>
    <hyperlink ref="D11" location="'Balance sheet'!A1" display="Balance Sheet" xr:uid="{8ADF3AAA-14A1-4AB9-AE20-89FEEA5812A2}"/>
    <hyperlink ref="D12" location="Cashflows!A1" display="Cashflows" xr:uid="{D8657A1A-7C09-4668-976C-C65E1C798BF1}"/>
    <hyperlink ref="D13" location="Valuation!A1" display="Valuation" xr:uid="{AE546A22-0B9F-49DD-944F-DCB570A0C60C}"/>
    <hyperlink ref="D14" location="'Financial ratio'!A1" display="Financial ratio" xr:uid="{0E1429BC-0626-4E44-9245-794A352C0947}"/>
    <hyperlink ref="D15" location="data1!A1" display="Data1" xr:uid="{AD3CB261-7DA3-4CBE-B034-B080EFEC50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DC8E-8ECB-4F48-854F-2A59248E3280}">
  <dimension ref="M1:N1"/>
  <sheetViews>
    <sheetView showGridLines="0" topLeftCell="A3" workbookViewId="0">
      <selection activeCell="S15" sqref="S15"/>
    </sheetView>
  </sheetViews>
  <sheetFormatPr defaultRowHeight="14.5" x14ac:dyDescent="0.35"/>
  <cols>
    <col min="1" max="13" width="8.7265625" style="105"/>
    <col min="14" max="14" width="10.08984375" style="105" bestFit="1" customWidth="1"/>
    <col min="15" max="16384" width="8.7265625" style="105"/>
  </cols>
  <sheetData>
    <row r="1" spans="13:14" x14ac:dyDescent="0.35">
      <c r="M1" t="s">
        <v>311</v>
      </c>
      <c r="N1" s="108">
        <f ca="1">TODAY()</f>
        <v>45710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Drop Down 1">
              <controlPr defaultSize="0" autoLine="0" autoPict="0">
                <anchor moveWithCells="1">
                  <from>
                    <xdr:col>7</xdr:col>
                    <xdr:colOff>107950</xdr:colOff>
                    <xdr:row>2</xdr:row>
                    <xdr:rowOff>152400</xdr:rowOff>
                  </from>
                  <to>
                    <xdr:col>9</xdr:col>
                    <xdr:colOff>101600</xdr:colOff>
                    <xdr:row>4</xdr:row>
                    <xdr:rowOff>38100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49566-2FD0-48E1-8828-A6B2DF228763}">
  <dimension ref="C1:O144"/>
  <sheetViews>
    <sheetView showGridLines="0" topLeftCell="B1" workbookViewId="0">
      <selection activeCell="M1" sqref="M1"/>
    </sheetView>
  </sheetViews>
  <sheetFormatPr defaultRowHeight="14.5" x14ac:dyDescent="0.35"/>
  <cols>
    <col min="3" max="3" width="16.36328125" customWidth="1"/>
    <col min="4" max="4" width="18.1796875" customWidth="1"/>
    <col min="5" max="5" width="12.7265625" bestFit="1" customWidth="1"/>
    <col min="7" max="7" width="12.7265625" bestFit="1" customWidth="1"/>
    <col min="10" max="10" width="14.453125" customWidth="1"/>
    <col min="11" max="11" width="11.26953125" customWidth="1"/>
    <col min="12" max="12" width="11.54296875" customWidth="1"/>
    <col min="13" max="13" width="11.7265625" customWidth="1"/>
    <col min="14" max="14" width="13.90625" customWidth="1"/>
  </cols>
  <sheetData>
    <row r="1" spans="3:14" x14ac:dyDescent="0.35">
      <c r="C1" t="s">
        <v>43</v>
      </c>
      <c r="G1" t="s">
        <v>0</v>
      </c>
      <c r="M1" t="s">
        <v>311</v>
      </c>
      <c r="N1" s="107">
        <f ca="1">TODAY()</f>
        <v>45710</v>
      </c>
    </row>
    <row r="3" spans="3:14" ht="26" x14ac:dyDescent="0.6">
      <c r="C3" s="21" t="s">
        <v>54</v>
      </c>
      <c r="D3" s="15"/>
      <c r="E3" s="15"/>
      <c r="F3" s="15"/>
      <c r="G3" s="15"/>
      <c r="H3" s="15"/>
      <c r="I3" s="15"/>
      <c r="J3" s="15"/>
      <c r="K3" s="15"/>
      <c r="L3" s="15"/>
      <c r="M3" s="15"/>
      <c r="N3" s="15"/>
    </row>
    <row r="4" spans="3:14" x14ac:dyDescent="0.35">
      <c r="C4" s="15"/>
      <c r="D4" s="15"/>
      <c r="E4" s="15"/>
      <c r="F4" s="15"/>
      <c r="G4" s="15"/>
      <c r="H4" s="15"/>
      <c r="I4" s="15"/>
      <c r="J4" s="15"/>
      <c r="K4" s="15"/>
      <c r="L4" s="15"/>
      <c r="M4" s="15"/>
      <c r="N4" s="15"/>
    </row>
    <row r="5" spans="3:14" x14ac:dyDescent="0.35">
      <c r="E5" s="77">
        <v>2</v>
      </c>
    </row>
    <row r="6" spans="3:14" x14ac:dyDescent="0.35">
      <c r="I6" s="41">
        <v>2023</v>
      </c>
      <c r="J6" s="41">
        <f>I6+1</f>
        <v>2024</v>
      </c>
      <c r="K6" s="41">
        <f t="shared" ref="K6:N6" si="0">J6+1</f>
        <v>2025</v>
      </c>
      <c r="L6" s="41">
        <f t="shared" si="0"/>
        <v>2026</v>
      </c>
      <c r="M6" s="41">
        <f t="shared" si="0"/>
        <v>2027</v>
      </c>
      <c r="N6" s="41">
        <f t="shared" si="0"/>
        <v>2028</v>
      </c>
    </row>
    <row r="7" spans="3:14" x14ac:dyDescent="0.35">
      <c r="C7" t="s">
        <v>55</v>
      </c>
      <c r="I7" s="13"/>
      <c r="J7" s="13">
        <v>5</v>
      </c>
      <c r="K7" s="13">
        <v>5</v>
      </c>
      <c r="L7" s="13">
        <v>5</v>
      </c>
      <c r="M7" s="13">
        <v>5</v>
      </c>
      <c r="N7" s="13">
        <v>5</v>
      </c>
    </row>
    <row r="8" spans="3:14" x14ac:dyDescent="0.35">
      <c r="C8" t="s">
        <v>56</v>
      </c>
      <c r="I8" s="13"/>
      <c r="J8" s="13">
        <v>4</v>
      </c>
      <c r="K8" s="13">
        <v>4</v>
      </c>
      <c r="L8" s="13">
        <v>4</v>
      </c>
      <c r="M8" s="13">
        <v>4</v>
      </c>
      <c r="N8" s="13">
        <v>4</v>
      </c>
    </row>
    <row r="9" spans="3:14" x14ac:dyDescent="0.35">
      <c r="C9" t="s">
        <v>57</v>
      </c>
      <c r="I9" s="13"/>
      <c r="J9" s="13">
        <v>12</v>
      </c>
      <c r="K9" s="13">
        <v>12</v>
      </c>
      <c r="L9" s="13">
        <v>12</v>
      </c>
      <c r="M9" s="13">
        <v>12</v>
      </c>
      <c r="N9" s="13">
        <v>12</v>
      </c>
    </row>
    <row r="10" spans="3:14" x14ac:dyDescent="0.35">
      <c r="C10" t="s">
        <v>58</v>
      </c>
      <c r="I10" s="13"/>
      <c r="J10" s="13">
        <v>4</v>
      </c>
      <c r="K10" s="13">
        <v>4</v>
      </c>
      <c r="L10" s="13">
        <v>4</v>
      </c>
      <c r="M10" s="13">
        <v>4</v>
      </c>
      <c r="N10" s="13">
        <v>4</v>
      </c>
    </row>
    <row r="11" spans="3:14" x14ac:dyDescent="0.35">
      <c r="C11" t="s">
        <v>59</v>
      </c>
      <c r="I11" s="13"/>
      <c r="J11" s="28">
        <v>0.26300000000000001</v>
      </c>
      <c r="K11" s="28">
        <v>0.22969999999999999</v>
      </c>
      <c r="L11" s="28">
        <v>0.16020000000000001</v>
      </c>
      <c r="M11" s="28">
        <v>0.15379999999999999</v>
      </c>
      <c r="N11" s="28">
        <v>0.14000000000000001</v>
      </c>
    </row>
    <row r="13" spans="3:14" x14ac:dyDescent="0.35">
      <c r="D13" t="s">
        <v>60</v>
      </c>
      <c r="E13" s="28">
        <v>0.2</v>
      </c>
    </row>
    <row r="14" spans="3:14" x14ac:dyDescent="0.35">
      <c r="D14" t="s">
        <v>61</v>
      </c>
      <c r="E14" s="29">
        <v>0.25</v>
      </c>
    </row>
    <row r="15" spans="3:14" x14ac:dyDescent="0.35">
      <c r="D15" t="s">
        <v>62</v>
      </c>
      <c r="E15" s="29">
        <v>0.3</v>
      </c>
    </row>
    <row r="16" spans="3:14" x14ac:dyDescent="0.35">
      <c r="D16" t="s">
        <v>63</v>
      </c>
      <c r="E16" s="30">
        <v>0.32500000000000001</v>
      </c>
    </row>
    <row r="17" spans="3:14" x14ac:dyDescent="0.35">
      <c r="D17" t="s">
        <v>64</v>
      </c>
      <c r="E17" s="31">
        <v>2.98E-2</v>
      </c>
    </row>
    <row r="18" spans="3:14" x14ac:dyDescent="0.35">
      <c r="D18" t="s">
        <v>75</v>
      </c>
      <c r="E18" s="28">
        <v>0.54</v>
      </c>
    </row>
    <row r="20" spans="3:14" x14ac:dyDescent="0.35">
      <c r="C20" s="12" t="s">
        <v>43</v>
      </c>
    </row>
    <row r="21" spans="3:14" x14ac:dyDescent="0.35">
      <c r="D21" t="s">
        <v>65</v>
      </c>
      <c r="E21" s="29">
        <v>1.2</v>
      </c>
    </row>
    <row r="22" spans="3:14" x14ac:dyDescent="0.35">
      <c r="D22" t="s">
        <v>66</v>
      </c>
      <c r="E22" s="29">
        <v>1</v>
      </c>
    </row>
    <row r="23" spans="3:14" x14ac:dyDescent="0.35">
      <c r="D23" t="s">
        <v>67</v>
      </c>
      <c r="E23" s="29">
        <v>0.8</v>
      </c>
    </row>
    <row r="25" spans="3:14" x14ac:dyDescent="0.35">
      <c r="C25" s="35" t="s">
        <v>89</v>
      </c>
      <c r="D25" s="1"/>
      <c r="E25" s="1"/>
      <c r="F25" s="1"/>
      <c r="G25" s="1"/>
      <c r="H25" s="1"/>
      <c r="I25" s="1"/>
      <c r="J25" s="1"/>
      <c r="K25" s="1"/>
      <c r="L25" s="1"/>
      <c r="M25" s="1"/>
      <c r="N25" s="1"/>
    </row>
    <row r="26" spans="3:14" x14ac:dyDescent="0.35">
      <c r="D26" t="s">
        <v>68</v>
      </c>
    </row>
    <row r="27" spans="3:14" x14ac:dyDescent="0.35">
      <c r="D27" t="s">
        <v>69</v>
      </c>
      <c r="G27" s="32" t="s">
        <v>87</v>
      </c>
      <c r="H27" s="32"/>
      <c r="I27" s="13"/>
      <c r="J27" s="13">
        <v>55</v>
      </c>
      <c r="K27" s="13">
        <v>60</v>
      </c>
      <c r="L27" s="13">
        <v>65</v>
      </c>
      <c r="M27" s="13">
        <v>80</v>
      </c>
      <c r="N27" s="13">
        <v>90</v>
      </c>
    </row>
    <row r="28" spans="3:14" x14ac:dyDescent="0.35">
      <c r="D28" t="s">
        <v>70</v>
      </c>
      <c r="G28" s="32" t="s">
        <v>86</v>
      </c>
      <c r="H28" s="32"/>
      <c r="I28" s="13"/>
      <c r="J28" s="13">
        <v>850</v>
      </c>
      <c r="K28" s="13">
        <v>900</v>
      </c>
      <c r="L28" s="13">
        <v>900</v>
      </c>
      <c r="M28" s="13">
        <v>900</v>
      </c>
      <c r="N28" s="13">
        <v>900</v>
      </c>
    </row>
    <row r="29" spans="3:14" x14ac:dyDescent="0.35">
      <c r="D29" t="s">
        <v>71</v>
      </c>
      <c r="G29" s="32" t="s">
        <v>87</v>
      </c>
      <c r="H29" s="32"/>
      <c r="I29" s="13"/>
      <c r="J29" s="13">
        <v>12</v>
      </c>
      <c r="K29" s="13">
        <v>12</v>
      </c>
      <c r="L29" s="13">
        <v>12</v>
      </c>
      <c r="M29" s="13">
        <v>12</v>
      </c>
      <c r="N29" s="13">
        <v>12</v>
      </c>
    </row>
    <row r="31" spans="3:14" x14ac:dyDescent="0.35">
      <c r="D31" t="s">
        <v>72</v>
      </c>
    </row>
    <row r="32" spans="3:14" x14ac:dyDescent="0.35">
      <c r="D32" t="s">
        <v>69</v>
      </c>
      <c r="G32" s="32" t="s">
        <v>87</v>
      </c>
      <c r="H32" s="32"/>
      <c r="I32" s="13"/>
      <c r="J32" s="13">
        <v>45</v>
      </c>
      <c r="K32" s="13">
        <v>50</v>
      </c>
      <c r="L32" s="13">
        <v>55</v>
      </c>
      <c r="M32" s="13">
        <v>65</v>
      </c>
      <c r="N32" s="13">
        <v>75</v>
      </c>
    </row>
    <row r="33" spans="3:14" x14ac:dyDescent="0.35">
      <c r="D33" t="s">
        <v>70</v>
      </c>
      <c r="G33" s="32" t="s">
        <v>86</v>
      </c>
      <c r="H33" s="32"/>
      <c r="I33" s="13"/>
      <c r="J33" s="13">
        <v>800</v>
      </c>
      <c r="K33" s="13">
        <v>820</v>
      </c>
      <c r="L33" s="13">
        <v>875</v>
      </c>
      <c r="M33" s="13">
        <v>915</v>
      </c>
      <c r="N33" s="13">
        <v>930</v>
      </c>
    </row>
    <row r="34" spans="3:14" x14ac:dyDescent="0.35">
      <c r="D34" t="s">
        <v>71</v>
      </c>
      <c r="G34" s="32" t="s">
        <v>87</v>
      </c>
      <c r="H34" s="32"/>
      <c r="I34" s="13"/>
      <c r="J34" s="13">
        <v>12</v>
      </c>
      <c r="K34" s="13">
        <v>12</v>
      </c>
      <c r="L34" s="13">
        <v>12</v>
      </c>
      <c r="M34" s="13">
        <v>12</v>
      </c>
      <c r="N34" s="13">
        <v>12</v>
      </c>
    </row>
    <row r="36" spans="3:14" x14ac:dyDescent="0.35">
      <c r="D36" t="s">
        <v>73</v>
      </c>
    </row>
    <row r="37" spans="3:14" x14ac:dyDescent="0.35">
      <c r="D37" t="s">
        <v>69</v>
      </c>
      <c r="G37" s="32" t="s">
        <v>87</v>
      </c>
      <c r="H37" s="32"/>
      <c r="I37" s="13"/>
      <c r="J37" s="13">
        <v>35</v>
      </c>
      <c r="K37" s="13">
        <v>37</v>
      </c>
      <c r="L37" s="13">
        <v>29</v>
      </c>
      <c r="M37" s="13">
        <v>25</v>
      </c>
      <c r="N37" s="13">
        <v>29</v>
      </c>
    </row>
    <row r="38" spans="3:14" x14ac:dyDescent="0.35">
      <c r="D38" t="s">
        <v>70</v>
      </c>
      <c r="G38" s="32" t="s">
        <v>86</v>
      </c>
      <c r="H38" s="32"/>
      <c r="I38" s="13"/>
      <c r="J38" s="13">
        <v>700</v>
      </c>
      <c r="K38" s="13">
        <v>710</v>
      </c>
      <c r="L38" s="13">
        <v>715</v>
      </c>
      <c r="M38" s="13">
        <v>740</v>
      </c>
      <c r="N38" s="13">
        <v>725</v>
      </c>
    </row>
    <row r="39" spans="3:14" x14ac:dyDescent="0.35">
      <c r="D39" t="s">
        <v>71</v>
      </c>
      <c r="G39" s="32" t="s">
        <v>87</v>
      </c>
      <c r="H39" s="32"/>
      <c r="I39" s="13"/>
      <c r="J39" s="13">
        <v>12</v>
      </c>
      <c r="K39" s="13">
        <v>12</v>
      </c>
      <c r="L39" s="13">
        <v>12</v>
      </c>
      <c r="M39" s="13">
        <v>12</v>
      </c>
      <c r="N39" s="13">
        <v>12</v>
      </c>
    </row>
    <row r="41" spans="3:14" x14ac:dyDescent="0.35">
      <c r="D41" t="s">
        <v>74</v>
      </c>
    </row>
    <row r="42" spans="3:14" x14ac:dyDescent="0.35">
      <c r="D42" t="s">
        <v>69</v>
      </c>
      <c r="G42" s="32" t="s">
        <v>87</v>
      </c>
      <c r="H42" s="32"/>
      <c r="I42" s="13"/>
      <c r="J42" s="13">
        <v>45</v>
      </c>
      <c r="K42" s="13">
        <v>47</v>
      </c>
      <c r="L42" s="13">
        <v>60</v>
      </c>
      <c r="M42" s="13">
        <v>65</v>
      </c>
      <c r="N42" s="13">
        <v>67</v>
      </c>
    </row>
    <row r="43" spans="3:14" x14ac:dyDescent="0.35">
      <c r="D43" t="s">
        <v>70</v>
      </c>
      <c r="G43" s="32" t="s">
        <v>86</v>
      </c>
      <c r="H43" s="32"/>
      <c r="I43" s="13"/>
      <c r="J43" s="13">
        <v>550</v>
      </c>
      <c r="K43" s="13">
        <v>550</v>
      </c>
      <c r="L43" s="13">
        <v>600</v>
      </c>
      <c r="M43" s="13">
        <v>620</v>
      </c>
      <c r="N43" s="13">
        <v>650</v>
      </c>
    </row>
    <row r="44" spans="3:14" x14ac:dyDescent="0.35">
      <c r="D44" t="s">
        <v>71</v>
      </c>
      <c r="G44" s="32" t="s">
        <v>87</v>
      </c>
      <c r="H44" s="32"/>
      <c r="I44" s="13"/>
      <c r="J44" s="13">
        <v>12</v>
      </c>
      <c r="K44" s="13">
        <v>12</v>
      </c>
      <c r="L44" s="13">
        <v>12</v>
      </c>
      <c r="M44" s="13">
        <v>12</v>
      </c>
      <c r="N44" s="13">
        <v>12</v>
      </c>
    </row>
    <row r="46" spans="3:14" x14ac:dyDescent="0.35">
      <c r="C46" s="35" t="s">
        <v>9</v>
      </c>
      <c r="D46" s="1"/>
      <c r="E46" s="1"/>
      <c r="F46" s="1"/>
      <c r="G46" s="1"/>
      <c r="H46" s="1"/>
      <c r="I46" s="1"/>
      <c r="J46" s="1"/>
      <c r="K46" s="1"/>
      <c r="L46" s="1"/>
      <c r="M46" s="1"/>
      <c r="N46" s="1"/>
    </row>
    <row r="47" spans="3:14" x14ac:dyDescent="0.35">
      <c r="D47" s="12" t="s">
        <v>76</v>
      </c>
    </row>
    <row r="48" spans="3:14" x14ac:dyDescent="0.35">
      <c r="D48" t="s">
        <v>77</v>
      </c>
      <c r="J48" s="29">
        <v>0.08</v>
      </c>
      <c r="K48" s="29">
        <v>0.08</v>
      </c>
      <c r="L48" s="29">
        <v>0.08</v>
      </c>
      <c r="M48" s="29">
        <v>0.08</v>
      </c>
      <c r="N48" s="29">
        <v>0.08</v>
      </c>
    </row>
    <row r="49" spans="3:14" x14ac:dyDescent="0.35">
      <c r="D49" t="s">
        <v>78</v>
      </c>
      <c r="J49" s="29">
        <v>0.06</v>
      </c>
      <c r="K49" s="29">
        <v>0.06</v>
      </c>
      <c r="L49" s="29">
        <v>0.06</v>
      </c>
      <c r="M49" s="29">
        <v>0.06</v>
      </c>
      <c r="N49" s="29">
        <v>0.06</v>
      </c>
    </row>
    <row r="50" spans="3:14" x14ac:dyDescent="0.35">
      <c r="D50" t="s">
        <v>79</v>
      </c>
      <c r="J50" s="29">
        <v>0.05</v>
      </c>
      <c r="K50" s="29">
        <v>0.05</v>
      </c>
      <c r="L50" s="29">
        <v>0.05</v>
      </c>
      <c r="M50" s="29">
        <v>0.05</v>
      </c>
      <c r="N50" s="29">
        <v>0.05</v>
      </c>
    </row>
    <row r="51" spans="3:14" x14ac:dyDescent="0.35">
      <c r="D51" t="s">
        <v>80</v>
      </c>
      <c r="J51" s="29">
        <v>7.0000000000000007E-2</v>
      </c>
      <c r="K51" s="29">
        <v>7.0000000000000007E-2</v>
      </c>
      <c r="L51" s="29">
        <v>7.0000000000000007E-2</v>
      </c>
      <c r="M51" s="29">
        <v>7.0000000000000007E-2</v>
      </c>
      <c r="N51" s="29">
        <v>7.0000000000000007E-2</v>
      </c>
    </row>
    <row r="52" spans="3:14" x14ac:dyDescent="0.35">
      <c r="D52" t="s">
        <v>81</v>
      </c>
      <c r="J52" s="29">
        <v>0.09</v>
      </c>
      <c r="K52" s="29">
        <v>0.09</v>
      </c>
      <c r="L52" s="29">
        <v>0.09</v>
      </c>
      <c r="M52" s="29">
        <v>0.09</v>
      </c>
      <c r="N52" s="29">
        <v>0.09</v>
      </c>
    </row>
    <row r="54" spans="3:14" x14ac:dyDescent="0.35">
      <c r="D54" s="12" t="s">
        <v>82</v>
      </c>
    </row>
    <row r="55" spans="3:14" x14ac:dyDescent="0.35">
      <c r="D55" t="s">
        <v>83</v>
      </c>
      <c r="G55" s="13" t="s">
        <v>87</v>
      </c>
      <c r="H55" s="13"/>
      <c r="I55" s="13"/>
      <c r="J55" s="13">
        <v>5</v>
      </c>
      <c r="K55" s="13">
        <v>5</v>
      </c>
      <c r="L55" s="13">
        <v>5</v>
      </c>
      <c r="M55" s="13">
        <v>5</v>
      </c>
      <c r="N55" s="13">
        <v>5</v>
      </c>
    </row>
    <row r="56" spans="3:14" x14ac:dyDescent="0.35">
      <c r="G56" s="13" t="s">
        <v>86</v>
      </c>
      <c r="H56" s="13"/>
      <c r="I56" s="13"/>
      <c r="J56" s="33">
        <v>120000</v>
      </c>
      <c r="K56" s="33">
        <v>120000</v>
      </c>
      <c r="L56" s="33">
        <v>120000</v>
      </c>
      <c r="M56" s="33">
        <v>120000</v>
      </c>
      <c r="N56" s="33">
        <v>120000</v>
      </c>
    </row>
    <row r="57" spans="3:14" x14ac:dyDescent="0.35">
      <c r="D57" t="s">
        <v>84</v>
      </c>
      <c r="G57" s="13" t="s">
        <v>87</v>
      </c>
      <c r="H57" s="13"/>
      <c r="I57" s="13"/>
      <c r="J57" s="13">
        <v>30</v>
      </c>
      <c r="K57" s="13">
        <v>30</v>
      </c>
      <c r="L57" s="13">
        <v>30</v>
      </c>
      <c r="M57" s="13">
        <v>30</v>
      </c>
      <c r="N57" s="13">
        <v>30</v>
      </c>
    </row>
    <row r="58" spans="3:14" x14ac:dyDescent="0.35">
      <c r="G58" s="13" t="s">
        <v>86</v>
      </c>
      <c r="H58" s="13"/>
      <c r="I58" s="13"/>
      <c r="J58" s="33">
        <v>80000</v>
      </c>
      <c r="K58" s="33">
        <v>80000</v>
      </c>
      <c r="L58" s="33">
        <v>80000</v>
      </c>
      <c r="M58" s="33">
        <v>80000</v>
      </c>
      <c r="N58" s="33">
        <v>80000</v>
      </c>
    </row>
    <row r="59" spans="3:14" x14ac:dyDescent="0.35">
      <c r="G59" s="13"/>
      <c r="H59" s="13"/>
      <c r="I59" s="13"/>
      <c r="J59" s="13"/>
      <c r="K59" s="13"/>
      <c r="L59" s="13"/>
      <c r="M59" s="13"/>
      <c r="N59" s="13"/>
    </row>
    <row r="60" spans="3:14" x14ac:dyDescent="0.35">
      <c r="D60" t="s">
        <v>85</v>
      </c>
      <c r="G60" s="13"/>
      <c r="H60" s="13"/>
      <c r="I60" s="13"/>
      <c r="J60" s="28">
        <v>0.05</v>
      </c>
      <c r="K60" s="28">
        <v>0.05</v>
      </c>
      <c r="L60" s="28">
        <v>0.05</v>
      </c>
      <c r="M60" s="28">
        <v>0.05</v>
      </c>
      <c r="N60" s="28">
        <v>0.05</v>
      </c>
    </row>
    <row r="62" spans="3:14" x14ac:dyDescent="0.35">
      <c r="C62" s="1" t="s">
        <v>88</v>
      </c>
      <c r="D62" s="1"/>
      <c r="E62" s="1"/>
      <c r="F62" s="1"/>
      <c r="G62" s="1"/>
      <c r="H62" s="1"/>
      <c r="I62" s="1"/>
      <c r="J62" s="1"/>
      <c r="K62" s="1"/>
      <c r="L62" s="1"/>
      <c r="M62" s="1"/>
      <c r="N62" s="1"/>
    </row>
    <row r="63" spans="3:14" x14ac:dyDescent="0.35">
      <c r="D63" t="s">
        <v>91</v>
      </c>
      <c r="G63" t="s">
        <v>86</v>
      </c>
      <c r="H63" t="s">
        <v>108</v>
      </c>
      <c r="J63" s="33">
        <v>100000</v>
      </c>
      <c r="K63" s="33">
        <v>120000</v>
      </c>
      <c r="L63" s="33">
        <v>120000</v>
      </c>
      <c r="M63" s="33">
        <v>130000</v>
      </c>
      <c r="N63" s="33">
        <v>140000</v>
      </c>
    </row>
    <row r="64" spans="3:14" x14ac:dyDescent="0.35">
      <c r="D64" t="s">
        <v>92</v>
      </c>
      <c r="G64" t="s">
        <v>86</v>
      </c>
      <c r="H64" t="s">
        <v>127</v>
      </c>
      <c r="J64" s="33">
        <v>80000</v>
      </c>
      <c r="K64" s="33">
        <v>80000</v>
      </c>
      <c r="L64" s="33">
        <v>80000</v>
      </c>
      <c r="M64" s="33">
        <v>80000</v>
      </c>
      <c r="N64" s="33">
        <v>80000</v>
      </c>
    </row>
    <row r="65" spans="3:14" x14ac:dyDescent="0.35">
      <c r="D65" t="s">
        <v>93</v>
      </c>
      <c r="G65" t="s">
        <v>107</v>
      </c>
      <c r="H65" t="s">
        <v>109</v>
      </c>
      <c r="J65" s="29">
        <v>0.05</v>
      </c>
      <c r="K65" s="29">
        <v>0.05</v>
      </c>
      <c r="L65" s="29">
        <v>0.05</v>
      </c>
      <c r="M65" s="29">
        <v>0.05</v>
      </c>
      <c r="N65" s="29">
        <v>0.05</v>
      </c>
    </row>
    <row r="66" spans="3:14" x14ac:dyDescent="0.35">
      <c r="D66" t="s">
        <v>94</v>
      </c>
      <c r="G66" t="s">
        <v>86</v>
      </c>
      <c r="H66" t="s">
        <v>109</v>
      </c>
      <c r="J66" s="33">
        <v>2000000</v>
      </c>
      <c r="K66" s="33">
        <v>2000000</v>
      </c>
      <c r="L66" s="33">
        <v>2000000</v>
      </c>
      <c r="M66" s="33">
        <v>2000000</v>
      </c>
      <c r="N66" s="33">
        <v>2000000</v>
      </c>
    </row>
    <row r="67" spans="3:14" x14ac:dyDescent="0.35">
      <c r="D67" t="s">
        <v>95</v>
      </c>
      <c r="G67" t="s">
        <v>86</v>
      </c>
      <c r="H67" t="s">
        <v>109</v>
      </c>
      <c r="J67" s="33">
        <v>5000000</v>
      </c>
      <c r="K67" s="33">
        <v>5000000</v>
      </c>
      <c r="L67" s="33">
        <v>5000000</v>
      </c>
      <c r="M67" s="33">
        <v>5000000</v>
      </c>
      <c r="N67" s="33">
        <v>5000000</v>
      </c>
    </row>
    <row r="68" spans="3:14" x14ac:dyDescent="0.35">
      <c r="D68" t="s">
        <v>96</v>
      </c>
      <c r="G68" t="s">
        <v>86</v>
      </c>
      <c r="H68" t="s">
        <v>108</v>
      </c>
      <c r="J68" s="33">
        <v>300000</v>
      </c>
      <c r="K68" s="33">
        <v>300000</v>
      </c>
      <c r="L68" s="33">
        <v>350000</v>
      </c>
      <c r="M68" s="33">
        <v>350000</v>
      </c>
      <c r="N68" s="33">
        <v>350000</v>
      </c>
    </row>
    <row r="69" spans="3:14" x14ac:dyDescent="0.35">
      <c r="D69" t="s">
        <v>97</v>
      </c>
      <c r="G69" t="s">
        <v>86</v>
      </c>
      <c r="H69" t="s">
        <v>109</v>
      </c>
      <c r="J69" s="33">
        <v>2500000</v>
      </c>
      <c r="K69" s="33">
        <v>2500000</v>
      </c>
      <c r="L69" s="33">
        <v>2500000</v>
      </c>
      <c r="M69" s="33">
        <v>2500000</v>
      </c>
      <c r="N69" s="33">
        <v>2500000</v>
      </c>
    </row>
    <row r="70" spans="3:14" x14ac:dyDescent="0.35">
      <c r="D70" t="s">
        <v>98</v>
      </c>
      <c r="G70" t="s">
        <v>86</v>
      </c>
      <c r="H70" t="s">
        <v>109</v>
      </c>
      <c r="J70" s="33">
        <v>1000000</v>
      </c>
      <c r="K70" s="33">
        <v>1000000</v>
      </c>
      <c r="L70" s="33">
        <v>1000000</v>
      </c>
      <c r="M70" s="33">
        <v>1000000</v>
      </c>
      <c r="N70" s="33">
        <v>1000000</v>
      </c>
    </row>
    <row r="71" spans="3:14" x14ac:dyDescent="0.35">
      <c r="D71" t="s">
        <v>99</v>
      </c>
      <c r="G71" t="s">
        <v>86</v>
      </c>
      <c r="H71" t="s">
        <v>109</v>
      </c>
      <c r="J71" s="33">
        <v>400000</v>
      </c>
      <c r="K71" s="33">
        <v>400000</v>
      </c>
      <c r="L71" s="33">
        <v>400000</v>
      </c>
      <c r="M71" s="33">
        <v>400000</v>
      </c>
      <c r="N71" s="33">
        <v>400000</v>
      </c>
    </row>
    <row r="73" spans="3:14" x14ac:dyDescent="0.35">
      <c r="C73" s="1" t="s">
        <v>100</v>
      </c>
      <c r="D73" s="1"/>
      <c r="E73" s="1"/>
      <c r="F73" s="1"/>
      <c r="G73" s="1"/>
      <c r="H73" s="1"/>
      <c r="I73" s="1"/>
      <c r="J73" s="1"/>
      <c r="K73" s="1"/>
      <c r="L73" s="1"/>
      <c r="M73" s="1"/>
      <c r="N73" s="1"/>
    </row>
    <row r="74" spans="3:14" x14ac:dyDescent="0.35">
      <c r="D74" t="s">
        <v>101</v>
      </c>
      <c r="G74" t="s">
        <v>87</v>
      </c>
      <c r="I74" s="13"/>
      <c r="J74" s="13">
        <v>1</v>
      </c>
      <c r="K74" s="13">
        <v>1</v>
      </c>
      <c r="L74" s="13">
        <v>1</v>
      </c>
      <c r="M74" s="13">
        <v>1</v>
      </c>
      <c r="N74" s="13">
        <v>1</v>
      </c>
    </row>
    <row r="75" spans="3:14" x14ac:dyDescent="0.35">
      <c r="D75" t="s">
        <v>102</v>
      </c>
      <c r="G75" t="s">
        <v>87</v>
      </c>
      <c r="I75" s="13"/>
      <c r="J75" s="13">
        <v>1</v>
      </c>
      <c r="K75" s="13">
        <v>1</v>
      </c>
      <c r="L75" s="13">
        <v>1</v>
      </c>
      <c r="M75" s="13">
        <v>1</v>
      </c>
      <c r="N75" s="13">
        <v>1</v>
      </c>
    </row>
    <row r="76" spans="3:14" x14ac:dyDescent="0.35">
      <c r="D76" t="s">
        <v>103</v>
      </c>
      <c r="G76" t="s">
        <v>87</v>
      </c>
      <c r="I76" s="13"/>
      <c r="J76" s="13">
        <v>1</v>
      </c>
      <c r="K76" s="13">
        <v>1</v>
      </c>
      <c r="L76" s="13">
        <v>1</v>
      </c>
      <c r="M76" s="13">
        <v>1</v>
      </c>
      <c r="N76" s="13">
        <v>1</v>
      </c>
    </row>
    <row r="77" spans="3:14" x14ac:dyDescent="0.35">
      <c r="D77" t="s">
        <v>104</v>
      </c>
      <c r="G77" t="s">
        <v>87</v>
      </c>
      <c r="I77" s="13"/>
      <c r="J77" s="13">
        <v>3</v>
      </c>
      <c r="K77" s="13">
        <v>3</v>
      </c>
      <c r="L77" s="13">
        <v>3</v>
      </c>
      <c r="M77" s="13">
        <v>3</v>
      </c>
      <c r="N77" s="13">
        <v>3</v>
      </c>
    </row>
    <row r="78" spans="3:14" x14ac:dyDescent="0.35">
      <c r="D78" t="s">
        <v>105</v>
      </c>
      <c r="G78" t="s">
        <v>87</v>
      </c>
      <c r="I78" s="13"/>
      <c r="J78" s="13">
        <v>5</v>
      </c>
      <c r="K78" s="13">
        <v>5</v>
      </c>
      <c r="L78" s="13">
        <v>5</v>
      </c>
      <c r="M78" s="13">
        <v>5</v>
      </c>
      <c r="N78" s="13">
        <v>5</v>
      </c>
    </row>
    <row r="79" spans="3:14" x14ac:dyDescent="0.35">
      <c r="D79" t="s">
        <v>106</v>
      </c>
      <c r="G79" t="s">
        <v>87</v>
      </c>
      <c r="I79" s="13"/>
      <c r="J79" s="13">
        <v>20</v>
      </c>
      <c r="K79" s="13">
        <v>20</v>
      </c>
      <c r="L79" s="13">
        <v>20</v>
      </c>
      <c r="M79" s="13">
        <v>20</v>
      </c>
      <c r="N79" s="13">
        <v>20</v>
      </c>
    </row>
    <row r="80" spans="3:14" x14ac:dyDescent="0.35">
      <c r="I80" s="13"/>
      <c r="J80" s="13"/>
      <c r="K80" s="13"/>
      <c r="L80" s="13"/>
      <c r="M80" s="13"/>
      <c r="N80" s="13"/>
    </row>
    <row r="81" spans="3:15" x14ac:dyDescent="0.35">
      <c r="D81" t="s">
        <v>101</v>
      </c>
      <c r="G81" t="s">
        <v>86</v>
      </c>
      <c r="H81" t="s">
        <v>108</v>
      </c>
      <c r="I81" s="13"/>
      <c r="J81" s="33">
        <v>1200000</v>
      </c>
      <c r="K81" s="33">
        <v>1200000</v>
      </c>
      <c r="L81" s="33">
        <v>1200000</v>
      </c>
      <c r="M81" s="33">
        <v>1200000</v>
      </c>
      <c r="N81" s="33">
        <v>1200000</v>
      </c>
    </row>
    <row r="82" spans="3:15" x14ac:dyDescent="0.35">
      <c r="D82" t="s">
        <v>102</v>
      </c>
      <c r="G82" t="s">
        <v>86</v>
      </c>
      <c r="H82" t="s">
        <v>108</v>
      </c>
      <c r="I82" s="13"/>
      <c r="J82" s="33">
        <v>1000000</v>
      </c>
      <c r="K82" s="33">
        <v>1000000</v>
      </c>
      <c r="L82" s="33">
        <v>1000000</v>
      </c>
      <c r="M82" s="33">
        <v>1000000</v>
      </c>
      <c r="N82" s="33">
        <v>1000000</v>
      </c>
    </row>
    <row r="83" spans="3:15" x14ac:dyDescent="0.35">
      <c r="D83" t="s">
        <v>103</v>
      </c>
      <c r="G83" t="s">
        <v>86</v>
      </c>
      <c r="H83" t="s">
        <v>108</v>
      </c>
      <c r="I83" s="13"/>
      <c r="J83" s="33">
        <v>600000</v>
      </c>
      <c r="K83" s="33">
        <v>600000</v>
      </c>
      <c r="L83" s="33">
        <v>600000</v>
      </c>
      <c r="M83" s="33">
        <v>600000</v>
      </c>
      <c r="N83" s="33">
        <v>600000</v>
      </c>
    </row>
    <row r="84" spans="3:15" x14ac:dyDescent="0.35">
      <c r="D84" t="s">
        <v>104</v>
      </c>
      <c r="G84" t="s">
        <v>86</v>
      </c>
      <c r="H84" t="s">
        <v>108</v>
      </c>
      <c r="I84" s="13"/>
      <c r="J84" s="33">
        <v>400000</v>
      </c>
      <c r="K84" s="33">
        <v>400000</v>
      </c>
      <c r="L84" s="33">
        <v>400000</v>
      </c>
      <c r="M84" s="33">
        <v>400000</v>
      </c>
      <c r="N84" s="33">
        <v>400000</v>
      </c>
    </row>
    <row r="85" spans="3:15" x14ac:dyDescent="0.35">
      <c r="D85" t="s">
        <v>105</v>
      </c>
      <c r="G85" t="s">
        <v>86</v>
      </c>
      <c r="H85" t="s">
        <v>108</v>
      </c>
      <c r="I85" s="13"/>
      <c r="J85" s="33">
        <v>250000</v>
      </c>
      <c r="K85" s="33">
        <v>250000</v>
      </c>
      <c r="L85" s="33">
        <v>250000</v>
      </c>
      <c r="M85" s="33">
        <v>250000</v>
      </c>
      <c r="N85" s="33">
        <v>250000</v>
      </c>
    </row>
    <row r="86" spans="3:15" x14ac:dyDescent="0.35">
      <c r="D86" t="s">
        <v>106</v>
      </c>
      <c r="G86" t="s">
        <v>86</v>
      </c>
      <c r="H86" t="s">
        <v>108</v>
      </c>
      <c r="I86" s="13"/>
      <c r="J86" s="33">
        <v>140000</v>
      </c>
      <c r="K86" s="33">
        <v>140000</v>
      </c>
      <c r="L86" s="33">
        <v>140000</v>
      </c>
      <c r="M86" s="33">
        <v>140000</v>
      </c>
      <c r="N86" s="33">
        <v>140000</v>
      </c>
    </row>
    <row r="87" spans="3:15" x14ac:dyDescent="0.35">
      <c r="I87" s="13"/>
      <c r="J87" s="13"/>
      <c r="K87" s="13"/>
      <c r="L87" s="13"/>
      <c r="M87" s="13"/>
      <c r="N87" s="13"/>
    </row>
    <row r="89" spans="3:15" x14ac:dyDescent="0.35">
      <c r="C89" s="1" t="s">
        <v>110</v>
      </c>
      <c r="D89" s="1"/>
      <c r="E89" s="1"/>
      <c r="F89" s="1"/>
      <c r="G89" s="1"/>
      <c r="H89" s="1"/>
      <c r="I89" s="1"/>
      <c r="J89" s="1"/>
      <c r="K89" s="1"/>
      <c r="L89" s="1"/>
      <c r="M89" s="1"/>
      <c r="N89" s="1"/>
      <c r="O89" s="36"/>
    </row>
    <row r="91" spans="3:15" x14ac:dyDescent="0.35">
      <c r="D91" s="12" t="s">
        <v>116</v>
      </c>
    </row>
    <row r="92" spans="3:15" x14ac:dyDescent="0.35">
      <c r="D92" s="12" t="s">
        <v>111</v>
      </c>
    </row>
    <row r="93" spans="3:15" x14ac:dyDescent="0.35">
      <c r="E93" t="s">
        <v>112</v>
      </c>
      <c r="J93" s="13">
        <v>4</v>
      </c>
      <c r="K93" s="13"/>
      <c r="L93" s="13">
        <v>2</v>
      </c>
      <c r="M93" s="13"/>
      <c r="N93" s="13"/>
    </row>
    <row r="94" spans="3:15" x14ac:dyDescent="0.35">
      <c r="E94" t="s">
        <v>113</v>
      </c>
      <c r="J94" s="33">
        <v>10000000</v>
      </c>
      <c r="K94" s="13"/>
      <c r="L94" s="33">
        <v>10000000</v>
      </c>
      <c r="M94" s="13"/>
      <c r="N94" s="13"/>
    </row>
    <row r="95" spans="3:15" x14ac:dyDescent="0.35">
      <c r="E95" t="s">
        <v>114</v>
      </c>
      <c r="G95" s="37">
        <v>5</v>
      </c>
      <c r="H95" s="28">
        <f>1/G95</f>
        <v>0.2</v>
      </c>
      <c r="J95" s="13"/>
      <c r="K95" s="13"/>
      <c r="L95" s="13"/>
      <c r="M95" s="13"/>
      <c r="N95" s="13"/>
    </row>
    <row r="96" spans="3:15" x14ac:dyDescent="0.35">
      <c r="E96" t="s">
        <v>115</v>
      </c>
      <c r="G96" s="33">
        <v>1000000</v>
      </c>
      <c r="H96" s="13"/>
      <c r="J96" s="13">
        <v>0</v>
      </c>
      <c r="K96" s="13"/>
      <c r="L96" s="13"/>
      <c r="M96" s="13"/>
      <c r="N96" s="13"/>
    </row>
    <row r="98" spans="4:14" x14ac:dyDescent="0.35">
      <c r="D98" t="s">
        <v>117</v>
      </c>
    </row>
    <row r="99" spans="4:14" x14ac:dyDescent="0.35">
      <c r="E99" t="s">
        <v>112</v>
      </c>
      <c r="J99" s="13">
        <v>3</v>
      </c>
      <c r="K99" s="13"/>
      <c r="L99" s="13"/>
      <c r="M99" s="13"/>
      <c r="N99" s="13">
        <v>1</v>
      </c>
    </row>
    <row r="100" spans="4:14" x14ac:dyDescent="0.35">
      <c r="E100" t="s">
        <v>113</v>
      </c>
      <c r="J100" s="13">
        <v>3000000</v>
      </c>
      <c r="K100" s="13"/>
      <c r="L100" s="13"/>
      <c r="M100" s="13"/>
      <c r="N100" s="13">
        <v>3000000</v>
      </c>
    </row>
    <row r="101" spans="4:14" x14ac:dyDescent="0.35">
      <c r="E101" t="s">
        <v>114</v>
      </c>
      <c r="G101" s="37">
        <v>4</v>
      </c>
      <c r="H101" s="28">
        <f>1/G101</f>
        <v>0.25</v>
      </c>
      <c r="J101" s="13"/>
      <c r="K101" s="13"/>
      <c r="L101" s="13"/>
      <c r="M101" s="13"/>
      <c r="N101" s="13"/>
    </row>
    <row r="102" spans="4:14" x14ac:dyDescent="0.35">
      <c r="E102" t="s">
        <v>115</v>
      </c>
      <c r="G102" s="33"/>
      <c r="H102" s="13"/>
      <c r="J102" s="13"/>
      <c r="K102" s="13"/>
      <c r="L102" s="13"/>
      <c r="M102" s="13"/>
      <c r="N102" s="13"/>
    </row>
    <row r="104" spans="4:14" x14ac:dyDescent="0.35">
      <c r="D104" t="s">
        <v>118</v>
      </c>
    </row>
    <row r="105" spans="4:14" x14ac:dyDescent="0.35">
      <c r="E105" t="s">
        <v>112</v>
      </c>
      <c r="J105" s="13">
        <v>2</v>
      </c>
      <c r="K105" s="13"/>
      <c r="L105" s="13"/>
      <c r="M105" s="13">
        <v>2</v>
      </c>
      <c r="N105" s="13"/>
    </row>
    <row r="106" spans="4:14" x14ac:dyDescent="0.35">
      <c r="E106" t="s">
        <v>113</v>
      </c>
      <c r="J106" s="33">
        <v>8000000</v>
      </c>
      <c r="K106" s="13"/>
      <c r="L106" s="13"/>
      <c r="M106" s="33">
        <v>8000000</v>
      </c>
      <c r="N106" s="13"/>
    </row>
    <row r="107" spans="4:14" x14ac:dyDescent="0.35">
      <c r="E107" t="s">
        <v>114</v>
      </c>
      <c r="G107" s="37">
        <v>5</v>
      </c>
      <c r="H107" s="28">
        <f>1/G107</f>
        <v>0.2</v>
      </c>
      <c r="J107" s="13"/>
      <c r="K107" s="13"/>
      <c r="L107" s="13"/>
      <c r="M107" s="13"/>
      <c r="N107" s="13"/>
    </row>
    <row r="108" spans="4:14" x14ac:dyDescent="0.35">
      <c r="E108" t="s">
        <v>115</v>
      </c>
      <c r="G108" s="33"/>
      <c r="H108" s="13"/>
      <c r="J108" s="13"/>
      <c r="K108" s="13"/>
      <c r="L108" s="13"/>
      <c r="M108" s="13"/>
      <c r="N108" s="13"/>
    </row>
    <row r="110" spans="4:14" x14ac:dyDescent="0.35">
      <c r="D110" t="s">
        <v>119</v>
      </c>
    </row>
    <row r="111" spans="4:14" x14ac:dyDescent="0.35">
      <c r="E111" t="s">
        <v>112</v>
      </c>
      <c r="J111" s="13">
        <v>2</v>
      </c>
      <c r="K111" s="13"/>
      <c r="L111" s="13">
        <v>1</v>
      </c>
      <c r="M111" s="13"/>
      <c r="N111" s="13">
        <v>1</v>
      </c>
    </row>
    <row r="112" spans="4:14" x14ac:dyDescent="0.35">
      <c r="E112" t="s">
        <v>113</v>
      </c>
      <c r="J112" s="33">
        <v>4000000</v>
      </c>
      <c r="K112" s="13"/>
      <c r="L112" s="33">
        <v>4000000</v>
      </c>
      <c r="M112" s="33"/>
      <c r="N112" s="33">
        <v>4000000</v>
      </c>
    </row>
    <row r="113" spans="3:14" x14ac:dyDescent="0.35">
      <c r="E113" t="s">
        <v>114</v>
      </c>
      <c r="G113" s="37">
        <v>4</v>
      </c>
      <c r="H113" s="28">
        <f>1/G113</f>
        <v>0.25</v>
      </c>
      <c r="J113" s="13"/>
      <c r="K113" s="13"/>
      <c r="L113" s="13"/>
      <c r="M113" s="13"/>
      <c r="N113" s="13"/>
    </row>
    <row r="114" spans="3:14" x14ac:dyDescent="0.35">
      <c r="E114" t="s">
        <v>115</v>
      </c>
      <c r="G114" s="33"/>
      <c r="H114" s="13"/>
      <c r="J114" s="13"/>
      <c r="K114" s="13"/>
      <c r="L114" s="13"/>
      <c r="M114" s="13"/>
      <c r="N114" s="13"/>
    </row>
    <row r="116" spans="3:14" x14ac:dyDescent="0.35">
      <c r="D116" t="s">
        <v>120</v>
      </c>
    </row>
    <row r="117" spans="3:14" x14ac:dyDescent="0.35">
      <c r="E117" t="s">
        <v>112</v>
      </c>
      <c r="J117" s="13">
        <v>1</v>
      </c>
      <c r="K117" s="13"/>
      <c r="L117" s="13"/>
      <c r="M117" s="13"/>
      <c r="N117" s="13"/>
    </row>
    <row r="118" spans="3:14" x14ac:dyDescent="0.35">
      <c r="E118" t="s">
        <v>113</v>
      </c>
      <c r="J118" s="33">
        <v>20000000</v>
      </c>
      <c r="K118" s="13"/>
      <c r="L118" s="33"/>
      <c r="M118" s="33"/>
      <c r="N118" s="33"/>
    </row>
    <row r="119" spans="3:14" x14ac:dyDescent="0.35">
      <c r="E119" t="s">
        <v>114</v>
      </c>
      <c r="G119" s="37">
        <v>30</v>
      </c>
      <c r="H119" s="28">
        <f>1/G119</f>
        <v>3.3333333333333333E-2</v>
      </c>
      <c r="J119" s="13"/>
      <c r="K119" s="13"/>
      <c r="L119" s="13"/>
      <c r="M119" s="13"/>
      <c r="N119" s="13"/>
    </row>
    <row r="120" spans="3:14" x14ac:dyDescent="0.35">
      <c r="E120" t="s">
        <v>121</v>
      </c>
      <c r="G120" s="28">
        <v>0.7</v>
      </c>
      <c r="H120" s="13"/>
      <c r="J120" s="13"/>
      <c r="K120" s="13"/>
      <c r="L120" s="13"/>
      <c r="M120" s="13"/>
      <c r="N120" s="13"/>
    </row>
    <row r="121" spans="3:14" x14ac:dyDescent="0.35">
      <c r="E121" t="s">
        <v>122</v>
      </c>
      <c r="G121" s="28">
        <v>0.3</v>
      </c>
      <c r="J121" s="13"/>
      <c r="K121" s="13"/>
      <c r="L121" s="13"/>
      <c r="M121" s="13"/>
      <c r="N121" s="13"/>
    </row>
    <row r="123" spans="3:14" x14ac:dyDescent="0.35">
      <c r="C123" s="1" t="s">
        <v>138</v>
      </c>
      <c r="D123" s="1"/>
      <c r="E123" s="1"/>
      <c r="F123" s="1"/>
      <c r="G123" s="1"/>
      <c r="H123" s="1"/>
      <c r="I123" s="1"/>
      <c r="J123" s="1"/>
      <c r="K123" s="1"/>
      <c r="L123" s="1"/>
      <c r="M123" s="1"/>
      <c r="N123" s="1"/>
    </row>
    <row r="125" spans="3:14" x14ac:dyDescent="0.35">
      <c r="D125" t="s">
        <v>139</v>
      </c>
      <c r="E125" s="33">
        <v>4000000</v>
      </c>
    </row>
    <row r="126" spans="3:14" x14ac:dyDescent="0.35">
      <c r="D126" t="s">
        <v>94</v>
      </c>
      <c r="E126" s="33">
        <v>2000000</v>
      </c>
    </row>
    <row r="127" spans="3:14" x14ac:dyDescent="0.35">
      <c r="D127" t="s">
        <v>140</v>
      </c>
      <c r="E127" s="33">
        <v>1000000</v>
      </c>
    </row>
    <row r="128" spans="3:14" ht="15" thickBot="1" x14ac:dyDescent="0.4">
      <c r="D128" t="s">
        <v>141</v>
      </c>
      <c r="E128" s="54">
        <v>2000000</v>
      </c>
    </row>
    <row r="129" spans="3:14" ht="15.5" thickTop="1" thickBot="1" x14ac:dyDescent="0.4">
      <c r="E129" s="34">
        <f>SUM(E125:E128)</f>
        <v>9000000</v>
      </c>
    </row>
    <row r="130" spans="3:14" ht="15" thickTop="1" x14ac:dyDescent="0.35"/>
    <row r="131" spans="3:14" x14ac:dyDescent="0.35">
      <c r="C131" s="1" t="s">
        <v>142</v>
      </c>
      <c r="D131" s="1"/>
      <c r="E131" s="1"/>
      <c r="F131" s="1"/>
      <c r="G131" s="1"/>
      <c r="H131" s="1"/>
      <c r="I131" s="1"/>
      <c r="J131" s="1"/>
      <c r="K131" s="1"/>
      <c r="L131" s="1"/>
      <c r="M131" s="1"/>
      <c r="N131" s="1"/>
    </row>
    <row r="133" spans="3:14" x14ac:dyDescent="0.35">
      <c r="D133" t="s">
        <v>148</v>
      </c>
      <c r="E133" s="29">
        <v>0.7</v>
      </c>
    </row>
    <row r="134" spans="3:14" ht="15" thickBot="1" x14ac:dyDescent="0.4">
      <c r="D134" t="s">
        <v>149</v>
      </c>
      <c r="E134" s="55">
        <v>0.3</v>
      </c>
    </row>
    <row r="135" spans="3:14" ht="15.5" thickTop="1" thickBot="1" x14ac:dyDescent="0.4">
      <c r="D135" s="12" t="s">
        <v>150</v>
      </c>
      <c r="E135" s="52">
        <f>SUM(E133:E134)</f>
        <v>1</v>
      </c>
    </row>
    <row r="136" spans="3:14" ht="15" thickTop="1" x14ac:dyDescent="0.35"/>
    <row r="137" spans="3:14" x14ac:dyDescent="0.35">
      <c r="D137" t="s">
        <v>151</v>
      </c>
    </row>
    <row r="138" spans="3:14" x14ac:dyDescent="0.35">
      <c r="D138" t="s">
        <v>166</v>
      </c>
      <c r="E138" s="24">
        <v>0.2</v>
      </c>
    </row>
    <row r="140" spans="3:14" x14ac:dyDescent="0.35">
      <c r="D140" t="s">
        <v>152</v>
      </c>
    </row>
    <row r="141" spans="3:14" x14ac:dyDescent="0.35">
      <c r="D141" t="s">
        <v>153</v>
      </c>
      <c r="E141" s="29">
        <v>0.1</v>
      </c>
    </row>
    <row r="142" spans="3:14" x14ac:dyDescent="0.35">
      <c r="D142" t="s">
        <v>154</v>
      </c>
      <c r="E142" s="29">
        <v>0.15</v>
      </c>
    </row>
    <row r="143" spans="3:14" x14ac:dyDescent="0.35">
      <c r="D143" t="s">
        <v>155</v>
      </c>
      <c r="E143" s="37">
        <v>5</v>
      </c>
    </row>
    <row r="144" spans="3:14" x14ac:dyDescent="0.35">
      <c r="D144" t="s">
        <v>156</v>
      </c>
      <c r="E144" s="13">
        <v>2028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9" r:id="rId3" name="Drop Down 3">
              <controlPr defaultSize="0" autoLine="0" autoPict="0">
                <anchor moveWithCells="1">
                  <from>
                    <xdr:col>2</xdr:col>
                    <xdr:colOff>920750</xdr:colOff>
                    <xdr:row>0</xdr:row>
                    <xdr:rowOff>63500</xdr:rowOff>
                  </from>
                  <to>
                    <xdr:col>4</xdr:col>
                    <xdr:colOff>12700</xdr:colOff>
                    <xdr:row>1</xdr:row>
                    <xdr:rowOff>133350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928BC-64AF-4A40-A1EC-AEDDC0CFDEE7}">
  <dimension ref="C1:N157"/>
  <sheetViews>
    <sheetView showGridLines="0" topLeftCell="B2" workbookViewId="0">
      <pane ySplit="7" topLeftCell="A37" activePane="bottomLeft" state="frozen"/>
      <selection activeCell="E12" sqref="E12"/>
      <selection pane="bottomLeft" activeCell="M2" sqref="M2"/>
    </sheetView>
  </sheetViews>
  <sheetFormatPr defaultRowHeight="14.5" x14ac:dyDescent="0.35"/>
  <cols>
    <col min="4" max="4" width="13.26953125" customWidth="1"/>
    <col min="5" max="5" width="16.453125" customWidth="1"/>
    <col min="6" max="6" width="12.08984375" customWidth="1"/>
    <col min="8" max="8" width="12.7265625" bestFit="1" customWidth="1"/>
    <col min="9" max="9" width="10.1796875" bestFit="1" customWidth="1"/>
    <col min="10" max="10" width="14.81640625" bestFit="1" customWidth="1"/>
    <col min="11" max="11" width="14" customWidth="1"/>
    <col min="12" max="12" width="12.81640625" customWidth="1"/>
    <col min="13" max="13" width="14.1796875" customWidth="1"/>
    <col min="14" max="14" width="13.54296875" customWidth="1"/>
  </cols>
  <sheetData>
    <row r="1" spans="3:14" x14ac:dyDescent="0.35">
      <c r="C1" t="s">
        <v>43</v>
      </c>
      <c r="H1" t="s">
        <v>0</v>
      </c>
    </row>
    <row r="2" spans="3:14" x14ac:dyDescent="0.35">
      <c r="C2" t="s">
        <v>43</v>
      </c>
      <c r="G2" t="s">
        <v>0</v>
      </c>
      <c r="L2" t="s">
        <v>44</v>
      </c>
      <c r="M2" s="107">
        <f ca="1">TODAY()</f>
        <v>45710</v>
      </c>
    </row>
    <row r="4" spans="3:14" ht="28.5" x14ac:dyDescent="0.65">
      <c r="C4" s="14"/>
      <c r="D4" s="14"/>
      <c r="E4" s="14"/>
      <c r="F4" s="14"/>
      <c r="G4" s="14"/>
      <c r="H4" s="40" t="s">
        <v>50</v>
      </c>
      <c r="I4" s="14"/>
      <c r="J4" s="14"/>
      <c r="K4" s="14"/>
      <c r="L4" s="14"/>
      <c r="M4" s="14"/>
      <c r="N4" s="14"/>
    </row>
    <row r="5" spans="3:14" x14ac:dyDescent="0.35">
      <c r="C5" s="14"/>
      <c r="D5" s="14"/>
      <c r="E5" s="14"/>
      <c r="F5" s="14"/>
      <c r="G5" s="14"/>
      <c r="H5" s="15"/>
      <c r="I5" s="14"/>
      <c r="J5" s="14"/>
      <c r="K5" s="14"/>
      <c r="L5" s="14"/>
      <c r="M5" s="14"/>
      <c r="N5" s="14"/>
    </row>
    <row r="7" spans="3:14" x14ac:dyDescent="0.35">
      <c r="I7" s="41">
        <v>2023</v>
      </c>
      <c r="J7" s="41">
        <f>I7+1</f>
        <v>2024</v>
      </c>
      <c r="K7" s="41">
        <f t="shared" ref="K7:N7" si="0">J7+1</f>
        <v>2025</v>
      </c>
      <c r="L7" s="41">
        <f t="shared" si="0"/>
        <v>2026</v>
      </c>
      <c r="M7" s="41">
        <f t="shared" si="0"/>
        <v>2027</v>
      </c>
      <c r="N7" s="41">
        <f t="shared" si="0"/>
        <v>2028</v>
      </c>
    </row>
    <row r="8" spans="3:14" x14ac:dyDescent="0.35">
      <c r="C8" s="35" t="s">
        <v>8</v>
      </c>
      <c r="D8" s="1"/>
      <c r="E8" s="1"/>
      <c r="F8" s="1"/>
      <c r="G8" s="1"/>
      <c r="H8" s="1"/>
      <c r="I8" s="1"/>
      <c r="J8" s="1"/>
      <c r="K8" s="1"/>
      <c r="L8" s="1"/>
      <c r="M8" s="1"/>
      <c r="N8" s="1"/>
    </row>
    <row r="10" spans="3:14" x14ac:dyDescent="0.35">
      <c r="D10" t="s">
        <v>68</v>
      </c>
      <c r="J10" s="33" cm="1">
        <f t="array" ref="J10">INDEX('Input data'!$E$21:$E$23,'Input data'!$E$5)*('Input data'!J28*'Input data'!J29*'Input data'!J27*'Input data'!J7*'Input data'!J8*'Input data'!J9)</f>
        <v>134640000</v>
      </c>
      <c r="K10" s="33" cm="1">
        <f t="array" ref="K10">INDEX('Input data'!$E$21:$E$23,'Input data'!$E$5)*('Input data'!K28*'Input data'!K29*'Input data'!K27*'Input data'!K7*'Input data'!K8*'Input data'!K9)</f>
        <v>155520000</v>
      </c>
      <c r="L10" s="33" cm="1">
        <f t="array" ref="L10">INDEX('Input data'!$E$21:$E$23,'Input data'!$E$5)*('Input data'!L28*'Input data'!L29*'Input data'!L27*'Input data'!L7*'Input data'!L8*'Input data'!L9)</f>
        <v>168480000</v>
      </c>
      <c r="M10" s="33" cm="1">
        <f t="array" ref="M10">INDEX('Input data'!$E$21:$E$23,'Input data'!$E$5)*('Input data'!M28*'Input data'!M29*'Input data'!M27*'Input data'!M7*'Input data'!M8*'Input data'!M9)</f>
        <v>207360000</v>
      </c>
      <c r="N10" s="33" cm="1">
        <f t="array" ref="N10">INDEX('Input data'!$E$21:$E$23,'Input data'!$E$5)*('Input data'!N28*'Input data'!N29*'Input data'!N27*'Input data'!N7*'Input data'!N8*'Input data'!N9)</f>
        <v>233280000</v>
      </c>
    </row>
    <row r="11" spans="3:14" x14ac:dyDescent="0.35">
      <c r="D11" t="s">
        <v>72</v>
      </c>
      <c r="J11" s="33" cm="1">
        <f t="array" ref="J11">INDEX('Input data'!$E$21:$E$23,'Input data'!$E$5)*('Input data'!J33*'Input data'!J34*'Input data'!J32*'Input data'!J7*'Input data'!J8*'Input data'!J9)</f>
        <v>103680000</v>
      </c>
      <c r="K11" s="33" cm="1">
        <f t="array" ref="K11">INDEX('Input data'!$E$21:$E$23,'Input data'!$E$5)*('Input data'!K33*'Input data'!K34*'Input data'!K32*'Input data'!K7*'Input data'!K8*'Input data'!K9)</f>
        <v>118080000</v>
      </c>
      <c r="L11" s="33" cm="1">
        <f t="array" ref="L11">INDEX('Input data'!$E$21:$E$23,'Input data'!$E$5)*('Input data'!L33*'Input data'!L34*'Input data'!L32*'Input data'!L7*'Input data'!L8*'Input data'!L9)</f>
        <v>138600000</v>
      </c>
      <c r="M11" s="33" cm="1">
        <f t="array" ref="M11">INDEX('Input data'!$E$21:$E$23,'Input data'!$E$5)*('Input data'!M33*'Input data'!M34*'Input data'!M32*'Input data'!M7*'Input data'!M8*'Input data'!M9)</f>
        <v>171288000</v>
      </c>
      <c r="N11" s="33" cm="1">
        <f t="array" ref="N11">INDEX('Input data'!$E$21:$E$23,'Input data'!$E$5)*('Input data'!N33*'Input data'!N34*'Input data'!N32*'Input data'!N7*'Input data'!N8*'Input data'!N9)</f>
        <v>200880000</v>
      </c>
    </row>
    <row r="12" spans="3:14" x14ac:dyDescent="0.35">
      <c r="D12" t="s">
        <v>73</v>
      </c>
      <c r="J12" s="33" cm="1">
        <f t="array" ref="J12">INDEX('Input data'!$E$21:$E$23,'Input data'!$E$5)*('Input data'!J38*'Input data'!J39*'Input data'!J37*'Input data'!J7*'Input data'!J8*'Input data'!J9)</f>
        <v>70560000</v>
      </c>
      <c r="K12" s="33" cm="1">
        <f t="array" ref="K12">INDEX('Input data'!$E$21:$E$23,'Input data'!$E$5)*('Input data'!K38*'Input data'!K39*'Input data'!K37*'Input data'!K7*'Input data'!K8*'Input data'!K9)</f>
        <v>75657600</v>
      </c>
      <c r="L12" s="33" cm="1">
        <f t="array" ref="L12">INDEX('Input data'!$E$21:$E$23,'Input data'!$E$5)*('Input data'!L38*'Input data'!L39*'Input data'!L37*'Input data'!L7*'Input data'!L8*'Input data'!L9)</f>
        <v>59716800</v>
      </c>
      <c r="M12" s="33" cm="1">
        <f t="array" ref="M12">INDEX('Input data'!$E$21:$E$23,'Input data'!$E$5)*('Input data'!M38*'Input data'!M39*'Input data'!M37*'Input data'!M7*'Input data'!M8*'Input data'!M9)</f>
        <v>53280000</v>
      </c>
      <c r="N12" s="33" cm="1">
        <f t="array" ref="N12">INDEX('Input data'!$E$21:$E$23,'Input data'!$E$5)*('Input data'!N38*'Input data'!N39*'Input data'!N37*'Input data'!N7*'Input data'!N8*'Input data'!N9)</f>
        <v>60552000</v>
      </c>
    </row>
    <row r="13" spans="3:14" ht="15" thickBot="1" x14ac:dyDescent="0.4">
      <c r="D13" t="s">
        <v>74</v>
      </c>
      <c r="J13" s="39" cm="1">
        <f t="array" ref="J13">INDEX('Input data'!$E$21:$E$23,'Input data'!$E$5)*('Input data'!J43*'Input data'!J44*'Input data'!J42*'Input data'!J7*'Input data'!J8*'Input data'!J9)</f>
        <v>71280000</v>
      </c>
      <c r="K13" s="39" cm="1">
        <f t="array" ref="K13">INDEX('Input data'!$E$21:$E$23,'Input data'!$E$5)*('Input data'!K43*'Input data'!K44*'Input data'!K42*'Input data'!K7*'Input data'!K8*'Input data'!K9)</f>
        <v>74448000</v>
      </c>
      <c r="L13" s="39" cm="1">
        <f t="array" ref="L13">INDEX('Input data'!$E$21:$E$23,'Input data'!$E$5)*('Input data'!L43*'Input data'!L44*'Input data'!L42*'Input data'!L7*'Input data'!L8*'Input data'!L9)</f>
        <v>103680000</v>
      </c>
      <c r="M13" s="39" cm="1">
        <f t="array" ref="M13">INDEX('Input data'!$E$21:$E$23,'Input data'!$E$5)*('Input data'!M43*'Input data'!M44*'Input data'!M42*'Input data'!M7*'Input data'!M8*'Input data'!M9)</f>
        <v>116064000</v>
      </c>
      <c r="N13" s="39" cm="1">
        <f t="array" ref="N13">INDEX('Input data'!$E$21:$E$23,'Input data'!$E$5)*('Input data'!N43*'Input data'!N44*'Input data'!N42*'Input data'!N7*'Input data'!N8*'Input data'!N9)</f>
        <v>125424000</v>
      </c>
    </row>
    <row r="14" spans="3:14" ht="15.5" thickTop="1" thickBot="1" x14ac:dyDescent="0.4">
      <c r="J14" s="48">
        <f>SUM(J10:J13)</f>
        <v>380160000</v>
      </c>
      <c r="K14" s="48">
        <f t="shared" ref="K14:N14" si="1">SUM(K10:K13)</f>
        <v>423705600</v>
      </c>
      <c r="L14" s="48">
        <f t="shared" si="1"/>
        <v>470476800</v>
      </c>
      <c r="M14" s="48">
        <f t="shared" si="1"/>
        <v>547992000</v>
      </c>
      <c r="N14" s="48">
        <f t="shared" si="1"/>
        <v>620136000</v>
      </c>
    </row>
    <row r="15" spans="3:14" ht="15" thickTop="1" x14ac:dyDescent="0.35"/>
    <row r="16" spans="3:14" x14ac:dyDescent="0.35">
      <c r="D16" t="s">
        <v>60</v>
      </c>
      <c r="J16" s="45">
        <f>J14*'Input data'!$E$13</f>
        <v>76032000</v>
      </c>
      <c r="K16" s="45">
        <f>K14*'Input data'!$E$13</f>
        <v>84741120</v>
      </c>
      <c r="L16" s="45">
        <f>L14*'Input data'!$E$13</f>
        <v>94095360</v>
      </c>
      <c r="M16" s="45">
        <f>M14*'Input data'!$E$13</f>
        <v>109598400</v>
      </c>
      <c r="N16" s="45">
        <f>N14*'Input data'!$E$13</f>
        <v>124027200</v>
      </c>
    </row>
    <row r="17" spans="3:14" x14ac:dyDescent="0.35">
      <c r="D17" t="s">
        <v>123</v>
      </c>
      <c r="J17" s="45">
        <f>J14-J16</f>
        <v>304128000</v>
      </c>
      <c r="K17" s="45">
        <f t="shared" ref="K17:N17" si="2">K14-K16</f>
        <v>338964480</v>
      </c>
      <c r="L17" s="45">
        <f t="shared" si="2"/>
        <v>376381440</v>
      </c>
      <c r="M17" s="45">
        <f t="shared" si="2"/>
        <v>438393600</v>
      </c>
      <c r="N17" s="45">
        <f t="shared" si="2"/>
        <v>496108800</v>
      </c>
    </row>
    <row r="19" spans="3:14" x14ac:dyDescent="0.35">
      <c r="C19" s="35" t="s">
        <v>9</v>
      </c>
      <c r="D19" s="1"/>
      <c r="E19" s="1"/>
      <c r="F19" s="1"/>
      <c r="G19" s="1"/>
      <c r="H19" s="1"/>
      <c r="I19" s="1"/>
      <c r="J19" s="1"/>
      <c r="K19" s="1"/>
      <c r="L19" s="1"/>
      <c r="M19" s="1"/>
      <c r="N19" s="1"/>
    </row>
    <row r="21" spans="3:14" x14ac:dyDescent="0.35">
      <c r="D21" t="s">
        <v>76</v>
      </c>
      <c r="J21" s="33">
        <f>SUM('Input data'!J48:J52)*workings!J14</f>
        <v>133055999.99999999</v>
      </c>
      <c r="K21" s="33">
        <f>SUM('Input data'!K48:K52)*workings!K14</f>
        <v>148296960</v>
      </c>
      <c r="L21" s="33">
        <f>SUM('Input data'!L48:L52)*workings!L14</f>
        <v>164666880</v>
      </c>
      <c r="M21" s="33">
        <f>SUM('Input data'!M48:M52)*workings!M14</f>
        <v>191797200</v>
      </c>
      <c r="N21" s="33">
        <f>SUM('Input data'!N48:N52)*workings!N14</f>
        <v>217047600</v>
      </c>
    </row>
    <row r="22" spans="3:14" x14ac:dyDescent="0.35">
      <c r="D22" t="s">
        <v>124</v>
      </c>
      <c r="J22" s="13"/>
      <c r="K22" s="13"/>
      <c r="L22" s="13"/>
      <c r="M22" s="13"/>
      <c r="N22" s="13"/>
    </row>
    <row r="23" spans="3:14" x14ac:dyDescent="0.35">
      <c r="E23" t="s">
        <v>105</v>
      </c>
      <c r="J23" s="33" cm="1">
        <f t="array" ref="J23">INDEX('Input data'!$E$21:$E$23,'Input data'!$E$5)*('Input data'!J55*'Input data'!J56*'Input data'!J9)</f>
        <v>7200000</v>
      </c>
      <c r="K23" s="33" cm="1">
        <f t="array" ref="K23">INDEX('Input data'!$E$21:$E$23,'Input data'!$E$5)*('Input data'!K55*'Input data'!K56*'Input data'!K9)</f>
        <v>7200000</v>
      </c>
      <c r="L23" s="33" cm="1">
        <f t="array" ref="L23">INDEX('Input data'!$E$21:$E$23,'Input data'!$E$5)*('Input data'!L55*'Input data'!L56*'Input data'!L9)</f>
        <v>7200000</v>
      </c>
      <c r="M23" s="33" cm="1">
        <f t="array" ref="M23">INDEX('Input data'!$E$21:$E$23,'Input data'!$E$5)*('Input data'!M55*'Input data'!M56*'Input data'!M9)</f>
        <v>7200000</v>
      </c>
      <c r="N23" s="33" cm="1">
        <f t="array" ref="N23">INDEX('Input data'!$E$21:$E$23,'Input data'!$E$5)*('Input data'!N55*'Input data'!N56*'Input data'!N9)</f>
        <v>7200000</v>
      </c>
    </row>
    <row r="24" spans="3:14" x14ac:dyDescent="0.35">
      <c r="E24" t="s">
        <v>84</v>
      </c>
      <c r="J24" s="33" cm="1">
        <f t="array" ref="J24">INDEX('Input data'!$E$21:$E$23,'Input data'!$E$5)*('Input data'!J9*'Input data'!J57*'Input data'!J58)</f>
        <v>28800000</v>
      </c>
      <c r="K24" s="33" cm="1">
        <f t="array" ref="K24">INDEX('Input data'!$E$21:$E$23,'Input data'!$E$5)*('Input data'!K9*'Input data'!K57*'Input data'!K58)</f>
        <v>28800000</v>
      </c>
      <c r="L24" s="33" cm="1">
        <f t="array" ref="L24">INDEX('Input data'!$E$21:$E$23,'Input data'!$E$5)*('Input data'!L9*'Input data'!L57*'Input data'!L58)</f>
        <v>28800000</v>
      </c>
      <c r="M24" s="33" cm="1">
        <f t="array" ref="M24">INDEX('Input data'!$E$21:$E$23,'Input data'!$E$5)*('Input data'!M9*'Input data'!M57*'Input data'!M58)</f>
        <v>28800000</v>
      </c>
      <c r="N24" s="33" cm="1">
        <f t="array" ref="N24">INDEX('Input data'!$E$21:$E$23,'Input data'!$E$5)*('Input data'!N9*'Input data'!N57*'Input data'!N58)</f>
        <v>28800000</v>
      </c>
    </row>
    <row r="25" spans="3:14" ht="15" thickBot="1" x14ac:dyDescent="0.4">
      <c r="D25" t="s">
        <v>85</v>
      </c>
      <c r="J25" s="39">
        <f>'Input data'!J60*workings!J14</f>
        <v>19008000</v>
      </c>
      <c r="K25" s="39">
        <f>'Input data'!K60*workings!K14</f>
        <v>21185280</v>
      </c>
      <c r="L25" s="39">
        <f>'Input data'!L60*workings!L14</f>
        <v>23523840</v>
      </c>
      <c r="M25" s="39">
        <f>'Input data'!M60*workings!M14</f>
        <v>27399600</v>
      </c>
      <c r="N25" s="39">
        <f>'Input data'!N60*workings!N14</f>
        <v>31006800</v>
      </c>
    </row>
    <row r="26" spans="3:14" ht="15.5" thickTop="1" thickBot="1" x14ac:dyDescent="0.4">
      <c r="J26" s="48">
        <f>SUM(J21:J25)</f>
        <v>188064000</v>
      </c>
      <c r="K26" s="48">
        <f t="shared" ref="K26:N26" si="3">SUM(K21:K25)</f>
        <v>205482240</v>
      </c>
      <c r="L26" s="48">
        <f t="shared" si="3"/>
        <v>224190720</v>
      </c>
      <c r="M26" s="48">
        <f t="shared" si="3"/>
        <v>255196800</v>
      </c>
      <c r="N26" s="48">
        <f t="shared" si="3"/>
        <v>284054400</v>
      </c>
    </row>
    <row r="27" spans="3:14" ht="15" thickTop="1" x14ac:dyDescent="0.35"/>
    <row r="28" spans="3:14" x14ac:dyDescent="0.35">
      <c r="D28" t="s">
        <v>62</v>
      </c>
      <c r="J28" s="45">
        <f>'Input data'!$E$15*workings!J21</f>
        <v>39916799.999999993</v>
      </c>
      <c r="K28" s="45">
        <f>'Input data'!$E$15*workings!K21</f>
        <v>44489088</v>
      </c>
      <c r="L28" s="45">
        <f>'Input data'!$E$15*workings!L21</f>
        <v>49400064</v>
      </c>
      <c r="M28" s="45">
        <f>'Input data'!$E$15*workings!M21</f>
        <v>57539160</v>
      </c>
      <c r="N28" s="45">
        <f>'Input data'!$E$15*workings!N21</f>
        <v>65114280</v>
      </c>
    </row>
    <row r="29" spans="3:14" x14ac:dyDescent="0.35">
      <c r="D29" t="s">
        <v>125</v>
      </c>
      <c r="J29" s="33">
        <f>'Input data'!$E$14*J26</f>
        <v>47016000</v>
      </c>
      <c r="K29" s="33">
        <f>'Input data'!$E$14*K26</f>
        <v>51370560</v>
      </c>
      <c r="L29" s="33">
        <f>'Input data'!$E$14*L26</f>
        <v>56047680</v>
      </c>
      <c r="M29" s="33">
        <f>'Input data'!$E$14*M26</f>
        <v>63799200</v>
      </c>
      <c r="N29" s="33">
        <f>'Input data'!$E$14*N26</f>
        <v>71013600</v>
      </c>
    </row>
    <row r="31" spans="3:14" x14ac:dyDescent="0.35">
      <c r="C31" s="35" t="s">
        <v>126</v>
      </c>
      <c r="D31" s="1"/>
      <c r="E31" s="1"/>
      <c r="F31" s="1"/>
      <c r="G31" s="1"/>
      <c r="H31" s="1"/>
      <c r="I31" s="1"/>
      <c r="J31" s="1"/>
      <c r="K31" s="1"/>
      <c r="L31" s="1"/>
      <c r="M31" s="1"/>
      <c r="N31" s="1"/>
    </row>
    <row r="33" spans="4:14" x14ac:dyDescent="0.35">
      <c r="E33" t="s">
        <v>101</v>
      </c>
      <c r="J33" s="33">
        <f>'Input data'!J74*'Input data'!J81*'Input data'!$J$9</f>
        <v>14400000</v>
      </c>
      <c r="K33" s="33">
        <f>'Input data'!K74*'Input data'!K81*'Input data'!$J$9</f>
        <v>14400000</v>
      </c>
      <c r="L33" s="33">
        <f>'Input data'!L74*'Input data'!L81*'Input data'!$J$9</f>
        <v>14400000</v>
      </c>
      <c r="M33" s="33">
        <f>'Input data'!M74*'Input data'!M81*'Input data'!$J$9</f>
        <v>14400000</v>
      </c>
      <c r="N33" s="33">
        <f>'Input data'!N74*'Input data'!N81*'Input data'!$J$9</f>
        <v>14400000</v>
      </c>
    </row>
    <row r="34" spans="4:14" x14ac:dyDescent="0.35">
      <c r="E34" t="s">
        <v>102</v>
      </c>
      <c r="J34" s="33">
        <f>'Input data'!J75*'Input data'!J82*'Input data'!$J$9</f>
        <v>12000000</v>
      </c>
      <c r="K34" s="33">
        <f>'Input data'!K75*'Input data'!K82*'Input data'!$J$9</f>
        <v>12000000</v>
      </c>
      <c r="L34" s="33">
        <f>'Input data'!L75*'Input data'!L82*'Input data'!$J$9</f>
        <v>12000000</v>
      </c>
      <c r="M34" s="33">
        <f>'Input data'!M75*'Input data'!M82*'Input data'!$J$9</f>
        <v>12000000</v>
      </c>
      <c r="N34" s="33">
        <f>'Input data'!N75*'Input data'!N82*'Input data'!$J$9</f>
        <v>12000000</v>
      </c>
    </row>
    <row r="35" spans="4:14" x14ac:dyDescent="0.35">
      <c r="E35" t="s">
        <v>103</v>
      </c>
      <c r="J35" s="33">
        <f>'Input data'!J76*'Input data'!J83*'Input data'!$J$9</f>
        <v>7200000</v>
      </c>
      <c r="K35" s="33">
        <f>'Input data'!K76*'Input data'!K83*'Input data'!$J$9</f>
        <v>7200000</v>
      </c>
      <c r="L35" s="33">
        <f>'Input data'!L76*'Input data'!L83*'Input data'!$J$9</f>
        <v>7200000</v>
      </c>
      <c r="M35" s="33">
        <f>'Input data'!M76*'Input data'!M83*'Input data'!$J$9</f>
        <v>7200000</v>
      </c>
      <c r="N35" s="33">
        <f>'Input data'!N76*'Input data'!N83*'Input data'!$J$9</f>
        <v>7200000</v>
      </c>
    </row>
    <row r="36" spans="4:14" x14ac:dyDescent="0.35">
      <c r="E36" t="s">
        <v>104</v>
      </c>
      <c r="J36" s="33">
        <f>'Input data'!J77*'Input data'!J84*'Input data'!$J$9</f>
        <v>14400000</v>
      </c>
      <c r="K36" s="33">
        <f>'Input data'!K77*'Input data'!K84*'Input data'!$J$9</f>
        <v>14400000</v>
      </c>
      <c r="L36" s="33">
        <f>'Input data'!L77*'Input data'!L84*'Input data'!$J$9</f>
        <v>14400000</v>
      </c>
      <c r="M36" s="33">
        <f>'Input data'!M77*'Input data'!M84*'Input data'!$J$9</f>
        <v>14400000</v>
      </c>
      <c r="N36" s="33">
        <f>'Input data'!N77*'Input data'!N84*'Input data'!$J$9</f>
        <v>14400000</v>
      </c>
    </row>
    <row r="37" spans="4:14" x14ac:dyDescent="0.35">
      <c r="E37" t="s">
        <v>105</v>
      </c>
      <c r="J37" s="33">
        <f>'Input data'!J78*'Input data'!J85*'Input data'!$J$9</f>
        <v>15000000</v>
      </c>
      <c r="K37" s="33">
        <f>'Input data'!K78*'Input data'!K85*'Input data'!$J$9</f>
        <v>15000000</v>
      </c>
      <c r="L37" s="33">
        <f>'Input data'!L78*'Input data'!L85*'Input data'!$J$9</f>
        <v>15000000</v>
      </c>
      <c r="M37" s="33">
        <f>'Input data'!M78*'Input data'!M85*'Input data'!$J$9</f>
        <v>15000000</v>
      </c>
      <c r="N37" s="33">
        <f>'Input data'!N78*'Input data'!N85*'Input data'!$J$9</f>
        <v>15000000</v>
      </c>
    </row>
    <row r="38" spans="4:14" ht="15" thickBot="1" x14ac:dyDescent="0.4">
      <c r="E38" t="s">
        <v>106</v>
      </c>
      <c r="J38" s="39">
        <f>'Input data'!J79*'Input data'!J86*'Input data'!$J$9</f>
        <v>33600000</v>
      </c>
      <c r="K38" s="39">
        <f>'Input data'!K79*'Input data'!K86*'Input data'!$J$9</f>
        <v>33600000</v>
      </c>
      <c r="L38" s="39">
        <f>'Input data'!L79*'Input data'!L86*'Input data'!$J$9</f>
        <v>33600000</v>
      </c>
      <c r="M38" s="39">
        <f>'Input data'!M79*'Input data'!M86*'Input data'!$J$9</f>
        <v>33600000</v>
      </c>
      <c r="N38" s="39">
        <f>'Input data'!N79*'Input data'!N86*'Input data'!$J$9</f>
        <v>33600000</v>
      </c>
    </row>
    <row r="39" spans="4:14" ht="15" thickTop="1" x14ac:dyDescent="0.35">
      <c r="D39" s="12" t="s">
        <v>90</v>
      </c>
      <c r="J39" s="46">
        <f>SUM(J33:J38)</f>
        <v>96600000</v>
      </c>
      <c r="K39" s="46">
        <f t="shared" ref="K39:N39" si="4">SUM(K33:K38)</f>
        <v>96600000</v>
      </c>
      <c r="L39" s="46">
        <f t="shared" si="4"/>
        <v>96600000</v>
      </c>
      <c r="M39" s="46">
        <f t="shared" si="4"/>
        <v>96600000</v>
      </c>
      <c r="N39" s="46">
        <f t="shared" si="4"/>
        <v>96600000</v>
      </c>
    </row>
    <row r="40" spans="4:14" x14ac:dyDescent="0.35">
      <c r="D40" t="s">
        <v>91</v>
      </c>
      <c r="J40" s="44" cm="1">
        <f t="array" ref="J40">INDEX('Input data'!$E$21:$E$23,'Input data'!$E$5)*('Input data'!J63*'Input data'!J9)</f>
        <v>1200000</v>
      </c>
      <c r="K40" s="44" cm="1">
        <f t="array" ref="K40">INDEX('Input data'!$E$21:$E$23,'Input data'!$E$5)*('Input data'!K63*'Input data'!K9)</f>
        <v>1440000</v>
      </c>
      <c r="L40" s="44" cm="1">
        <f t="array" ref="L40">INDEX('Input data'!$E$21:$E$23,'Input data'!$E$5)*('Input data'!L63*'Input data'!L9)</f>
        <v>1440000</v>
      </c>
      <c r="M40" s="44" cm="1">
        <f t="array" ref="M40">INDEX('Input data'!$E$21:$E$23,'Input data'!$E$5)*('Input data'!M63*'Input data'!M9)</f>
        <v>1560000</v>
      </c>
      <c r="N40" s="44" cm="1">
        <f t="array" ref="N40">INDEX('Input data'!$E$21:$E$23,'Input data'!$E$5)*('Input data'!N63*'Input data'!N9)</f>
        <v>1680000</v>
      </c>
    </row>
    <row r="41" spans="4:14" x14ac:dyDescent="0.35">
      <c r="D41" t="s">
        <v>92</v>
      </c>
      <c r="J41" s="33">
        <f>'Input data'!J64*'Input data'!J10</f>
        <v>320000</v>
      </c>
      <c r="K41" s="33">
        <f>'Input data'!K64*'Input data'!K10</f>
        <v>320000</v>
      </c>
      <c r="L41" s="33">
        <f>'Input data'!L64*'Input data'!L10</f>
        <v>320000</v>
      </c>
      <c r="M41" s="33">
        <f>'Input data'!M64*'Input data'!M10</f>
        <v>320000</v>
      </c>
      <c r="N41" s="33">
        <f>'Input data'!N64*'Input data'!N10</f>
        <v>320000</v>
      </c>
    </row>
    <row r="42" spans="4:14" x14ac:dyDescent="0.35">
      <c r="D42" t="s">
        <v>93</v>
      </c>
      <c r="J42" s="33">
        <f>'Input data'!J65*workings!J14</f>
        <v>19008000</v>
      </c>
      <c r="K42" s="33">
        <f>'Input data'!K65*workings!K14</f>
        <v>21185280</v>
      </c>
      <c r="L42" s="33">
        <f>'Input data'!L65*workings!L14</f>
        <v>23523840</v>
      </c>
      <c r="M42" s="33">
        <f>'Input data'!M65*workings!M14</f>
        <v>27399600</v>
      </c>
      <c r="N42" s="33">
        <f>'Input data'!N65*workings!N14</f>
        <v>31006800</v>
      </c>
    </row>
    <row r="43" spans="4:14" x14ac:dyDescent="0.35">
      <c r="D43" t="s">
        <v>94</v>
      </c>
      <c r="J43" s="33"/>
      <c r="K43" s="33">
        <f>'Input data'!K66</f>
        <v>2000000</v>
      </c>
      <c r="L43" s="33">
        <f>'Input data'!L66</f>
        <v>2000000</v>
      </c>
      <c r="M43" s="33">
        <f>'Input data'!M66</f>
        <v>2000000</v>
      </c>
      <c r="N43" s="33">
        <f>'Input data'!N66</f>
        <v>2000000</v>
      </c>
    </row>
    <row r="44" spans="4:14" x14ac:dyDescent="0.35">
      <c r="D44" t="s">
        <v>95</v>
      </c>
      <c r="J44" s="33">
        <f>'Input data'!J67</f>
        <v>5000000</v>
      </c>
      <c r="K44" s="33">
        <f>'Input data'!K67</f>
        <v>5000000</v>
      </c>
      <c r="L44" s="33">
        <f>'Input data'!L67</f>
        <v>5000000</v>
      </c>
      <c r="M44" s="33">
        <f>'Input data'!M67</f>
        <v>5000000</v>
      </c>
      <c r="N44" s="33">
        <f>'Input data'!N67</f>
        <v>5000000</v>
      </c>
    </row>
    <row r="45" spans="4:14" x14ac:dyDescent="0.35">
      <c r="D45" t="s">
        <v>96</v>
      </c>
      <c r="J45" s="33" cm="1">
        <f t="array" ref="J45">INDEX('Input data'!$E$21:$E$23,'Input data'!$E$5)*('Input data'!J68*'Input data'!J9)</f>
        <v>3600000</v>
      </c>
      <c r="K45" s="33" cm="1">
        <f t="array" ref="K45">INDEX('Input data'!$E$21:$E$23,'Input data'!$E$5)*('Input data'!K68*'Input data'!K9)</f>
        <v>3600000</v>
      </c>
      <c r="L45" s="33" cm="1">
        <f t="array" ref="L45">INDEX('Input data'!$E$21:$E$23,'Input data'!$E$5)*('Input data'!L68*'Input data'!L9)</f>
        <v>4200000</v>
      </c>
      <c r="M45" s="33" cm="1">
        <f t="array" ref="M45">INDEX('Input data'!$E$21:$E$23,'Input data'!$E$5)*('Input data'!M68*'Input data'!M9)</f>
        <v>4200000</v>
      </c>
      <c r="N45" s="33" cm="1">
        <f t="array" ref="N45">INDEX('Input data'!$E$21:$E$23,'Input data'!$E$5)*('Input data'!N68*'Input data'!N9)</f>
        <v>4200000</v>
      </c>
    </row>
    <row r="46" spans="4:14" x14ac:dyDescent="0.35">
      <c r="D46" t="s">
        <v>97</v>
      </c>
      <c r="J46" s="33">
        <f>'Input data'!J69</f>
        <v>2500000</v>
      </c>
      <c r="K46" s="33">
        <f>'Input data'!K69</f>
        <v>2500000</v>
      </c>
      <c r="L46" s="33">
        <f>'Input data'!L69</f>
        <v>2500000</v>
      </c>
      <c r="M46" s="33">
        <f>'Input data'!M69</f>
        <v>2500000</v>
      </c>
      <c r="N46" s="33">
        <f>'Input data'!N69</f>
        <v>2500000</v>
      </c>
    </row>
    <row r="47" spans="4:14" x14ac:dyDescent="0.35">
      <c r="D47" t="s">
        <v>98</v>
      </c>
      <c r="J47" s="33">
        <f>'Input data'!J70</f>
        <v>1000000</v>
      </c>
      <c r="K47" s="33">
        <f>'Input data'!K70</f>
        <v>1000000</v>
      </c>
      <c r="L47" s="33">
        <f>'Input data'!L70</f>
        <v>1000000</v>
      </c>
      <c r="M47" s="33">
        <f>'Input data'!M70</f>
        <v>1000000</v>
      </c>
      <c r="N47" s="33">
        <f>'Input data'!N70</f>
        <v>1000000</v>
      </c>
    </row>
    <row r="48" spans="4:14" x14ac:dyDescent="0.35">
      <c r="D48" t="s">
        <v>99</v>
      </c>
      <c r="J48" s="39">
        <f>'Input data'!J71</f>
        <v>400000</v>
      </c>
      <c r="K48" s="39">
        <f>'Input data'!K71</f>
        <v>400000</v>
      </c>
      <c r="L48" s="39">
        <f>'Input data'!L71</f>
        <v>400000</v>
      </c>
      <c r="M48" s="39">
        <f>'Input data'!M71</f>
        <v>400000</v>
      </c>
      <c r="N48" s="39">
        <f>'Input data'!N71</f>
        <v>400000</v>
      </c>
    </row>
    <row r="49" spans="3:14" x14ac:dyDescent="0.35">
      <c r="D49" t="s">
        <v>138</v>
      </c>
      <c r="J49" s="33">
        <f>'Input data'!E129</f>
        <v>9000000</v>
      </c>
      <c r="K49" s="33"/>
      <c r="L49" s="33"/>
      <c r="M49" s="33"/>
      <c r="N49" s="33"/>
    </row>
    <row r="50" spans="3:14" ht="15" thickBot="1" x14ac:dyDescent="0.4">
      <c r="J50" s="60">
        <f>SUM(J39:J49)</f>
        <v>138628000</v>
      </c>
      <c r="K50" s="60">
        <f t="shared" ref="K50:N50" si="5">SUM(K39:K49)</f>
        <v>134045280</v>
      </c>
      <c r="L50" s="60">
        <f t="shared" si="5"/>
        <v>136983840</v>
      </c>
      <c r="M50" s="60">
        <f t="shared" si="5"/>
        <v>140979600</v>
      </c>
      <c r="N50" s="60">
        <f t="shared" si="5"/>
        <v>144706800</v>
      </c>
    </row>
    <row r="51" spans="3:14" ht="15" thickTop="1" x14ac:dyDescent="0.35"/>
    <row r="52" spans="3:14" x14ac:dyDescent="0.35">
      <c r="C52" s="35" t="s">
        <v>128</v>
      </c>
      <c r="D52" s="1"/>
      <c r="E52" s="1"/>
      <c r="F52" s="1"/>
      <c r="G52" s="1"/>
      <c r="H52" s="1"/>
      <c r="I52" s="1"/>
      <c r="J52" s="1"/>
      <c r="K52" s="1"/>
      <c r="L52" s="1"/>
      <c r="M52" s="1"/>
      <c r="N52" s="1"/>
    </row>
    <row r="54" spans="3:14" x14ac:dyDescent="0.35">
      <c r="D54" s="12" t="s">
        <v>116</v>
      </c>
      <c r="G54" t="s">
        <v>114</v>
      </c>
      <c r="H54" t="s">
        <v>131</v>
      </c>
      <c r="J54" s="49"/>
      <c r="K54" s="49"/>
      <c r="L54" s="49"/>
      <c r="M54" s="49"/>
      <c r="N54" s="49"/>
    </row>
    <row r="55" spans="3:14" x14ac:dyDescent="0.35">
      <c r="E55" t="s">
        <v>111</v>
      </c>
      <c r="G55">
        <v>5</v>
      </c>
      <c r="H55" s="27">
        <v>1000000</v>
      </c>
      <c r="J55" s="33">
        <f>'Input data'!J93*'Input data'!J94</f>
        <v>40000000</v>
      </c>
      <c r="K55" s="33">
        <f>'Input data'!K93*'Input data'!K94</f>
        <v>0</v>
      </c>
      <c r="L55" s="33">
        <f>'Input data'!L93*'Input data'!L94</f>
        <v>20000000</v>
      </c>
      <c r="M55" s="33">
        <f>'Input data'!M93*'Input data'!M94</f>
        <v>0</v>
      </c>
      <c r="N55" s="33">
        <f>'Input data'!N93*'Input data'!N94</f>
        <v>0</v>
      </c>
    </row>
    <row r="56" spans="3:14" x14ac:dyDescent="0.35">
      <c r="E56" t="s">
        <v>117</v>
      </c>
      <c r="G56">
        <v>4</v>
      </c>
      <c r="J56" s="33">
        <f>'Input data'!J100*'Input data'!J99</f>
        <v>9000000</v>
      </c>
      <c r="K56" s="33">
        <f>'Input data'!K100*'Input data'!K99</f>
        <v>0</v>
      </c>
      <c r="L56" s="33">
        <f>'Input data'!L100*'Input data'!L99</f>
        <v>0</v>
      </c>
      <c r="M56" s="33">
        <f>'Input data'!M100*'Input data'!M99</f>
        <v>0</v>
      </c>
      <c r="N56" s="33">
        <f>'Input data'!N100*'Input data'!N99</f>
        <v>3000000</v>
      </c>
    </row>
    <row r="57" spans="3:14" x14ac:dyDescent="0.35">
      <c r="E57" t="s">
        <v>118</v>
      </c>
      <c r="G57">
        <v>5</v>
      </c>
      <c r="J57" s="33">
        <f>'Input data'!J106*'Input data'!J105</f>
        <v>16000000</v>
      </c>
      <c r="K57" s="33">
        <f>'Input data'!K106*'Input data'!K105</f>
        <v>0</v>
      </c>
      <c r="L57" s="33">
        <f>'Input data'!L106*'Input data'!L105</f>
        <v>0</v>
      </c>
      <c r="M57" s="33">
        <f>'Input data'!M106*'Input data'!M105</f>
        <v>16000000</v>
      </c>
      <c r="N57" s="33">
        <f>'Input data'!N106*'Input data'!N105</f>
        <v>0</v>
      </c>
    </row>
    <row r="58" spans="3:14" x14ac:dyDescent="0.35">
      <c r="E58" t="s">
        <v>119</v>
      </c>
      <c r="G58">
        <v>4</v>
      </c>
      <c r="J58" s="33">
        <f>'Input data'!J111*'Input data'!J112</f>
        <v>8000000</v>
      </c>
      <c r="K58" s="33">
        <f>'Input data'!K111*'Input data'!K112</f>
        <v>0</v>
      </c>
      <c r="L58" s="33">
        <f>'Input data'!L111*'Input data'!L112</f>
        <v>4000000</v>
      </c>
      <c r="M58" s="33">
        <f>'Input data'!M111*'Input data'!M112</f>
        <v>0</v>
      </c>
      <c r="N58" s="33">
        <f>'Input data'!N111*'Input data'!N112</f>
        <v>4000000</v>
      </c>
    </row>
    <row r="59" spans="3:14" x14ac:dyDescent="0.35">
      <c r="E59" t="s">
        <v>120</v>
      </c>
      <c r="F59" t="s">
        <v>129</v>
      </c>
      <c r="G59">
        <v>30</v>
      </c>
      <c r="J59" s="33">
        <f>'Input data'!J117*'Input data'!J118*'Input data'!G120</f>
        <v>14000000</v>
      </c>
      <c r="K59" s="33">
        <f>'Input data'!K117*'Input data'!K118*'Input data'!H120</f>
        <v>0</v>
      </c>
      <c r="L59" s="33">
        <f>'Input data'!L117*'Input data'!L118*'Input data'!I120</f>
        <v>0</v>
      </c>
      <c r="M59" s="33">
        <f>'Input data'!M117*'Input data'!M118*'Input data'!J120</f>
        <v>0</v>
      </c>
      <c r="N59" s="33">
        <f>'Input data'!N117*'Input data'!N118*'Input data'!K120</f>
        <v>0</v>
      </c>
    </row>
    <row r="60" spans="3:14" ht="15" thickBot="1" x14ac:dyDescent="0.4">
      <c r="F60" t="s">
        <v>130</v>
      </c>
      <c r="J60" s="39">
        <f>'Input data'!J117*'Input data'!J118*'Input data'!G121</f>
        <v>6000000</v>
      </c>
      <c r="K60" s="39">
        <f>'Input data'!K117*'Input data'!K118*'Input data'!H121</f>
        <v>0</v>
      </c>
      <c r="L60" s="39">
        <f>'Input data'!L117*'Input data'!L118*'Input data'!I121</f>
        <v>0</v>
      </c>
      <c r="M60" s="39">
        <f>'Input data'!M117*'Input data'!M118*'Input data'!J121</f>
        <v>0</v>
      </c>
      <c r="N60" s="39">
        <f>'Input data'!N117*'Input data'!N118*'Input data'!K121</f>
        <v>0</v>
      </c>
    </row>
    <row r="61" spans="3:14" ht="15.5" thickTop="1" thickBot="1" x14ac:dyDescent="0.4">
      <c r="J61" s="50">
        <f>SUM(J55:J60)</f>
        <v>93000000</v>
      </c>
      <c r="K61" s="50">
        <f t="shared" ref="K61:N61" si="6">SUM(K55:K60)</f>
        <v>0</v>
      </c>
      <c r="L61" s="50">
        <f t="shared" si="6"/>
        <v>24000000</v>
      </c>
      <c r="M61" s="50">
        <f t="shared" si="6"/>
        <v>16000000</v>
      </c>
      <c r="N61" s="50">
        <f t="shared" si="6"/>
        <v>7000000</v>
      </c>
    </row>
    <row r="62" spans="3:14" ht="15" thickTop="1" x14ac:dyDescent="0.35"/>
    <row r="63" spans="3:14" x14ac:dyDescent="0.35">
      <c r="D63" s="12" t="s">
        <v>132</v>
      </c>
    </row>
    <row r="64" spans="3:14" x14ac:dyDescent="0.35">
      <c r="E64" t="s">
        <v>111</v>
      </c>
      <c r="J64" s="33">
        <f>SLN(SUM($J55:J55),$H55,$G55)</f>
        <v>7800000</v>
      </c>
      <c r="K64" s="33">
        <f>SLN(SUM($J55:K55),$H55,$G55)</f>
        <v>7800000</v>
      </c>
      <c r="L64" s="33">
        <f>SLN(SUM($J55:L55),$H55,$G55)</f>
        <v>11800000</v>
      </c>
      <c r="M64" s="33">
        <f>SLN(SUM($J55:M55),$H55,$G55)</f>
        <v>11800000</v>
      </c>
      <c r="N64" s="33">
        <f>SLN(SUM($J55:N55),$H55,$G55)</f>
        <v>11800000</v>
      </c>
    </row>
    <row r="65" spans="4:14" x14ac:dyDescent="0.35">
      <c r="E65" t="s">
        <v>117</v>
      </c>
      <c r="J65" s="33">
        <f>SLN(SUM($J56:J56),$H56,$G56)</f>
        <v>2250000</v>
      </c>
      <c r="K65" s="33">
        <f>SLN(SUM($J56:K56),$H56,$G56)</f>
        <v>2250000</v>
      </c>
      <c r="L65" s="33">
        <f>SLN(SUM($J56:L56),$H56,$G56)</f>
        <v>2250000</v>
      </c>
      <c r="M65" s="33">
        <f>SLN(SUM($J56:M56),$H56,$G56)</f>
        <v>2250000</v>
      </c>
      <c r="N65" s="33">
        <f>SLN(SUM($N56:N56),$H56,$G56)</f>
        <v>750000</v>
      </c>
    </row>
    <row r="66" spans="4:14" x14ac:dyDescent="0.35">
      <c r="E66" t="s">
        <v>118</v>
      </c>
      <c r="J66" s="33">
        <f>SLN(SUM($J57:J57),$H57,$G57)</f>
        <v>3200000</v>
      </c>
      <c r="K66" s="33">
        <f>SLN(SUM($J57:K57),$H57,$G57)</f>
        <v>3200000</v>
      </c>
      <c r="L66" s="33">
        <f>SLN(SUM($J57:L57),$H57,$G57)</f>
        <v>3200000</v>
      </c>
      <c r="M66" s="33">
        <f>SLN(SUM($J57:M57),$H57,$G57)</f>
        <v>6400000</v>
      </c>
      <c r="N66" s="33">
        <f>SLN(SUM($J57:N57),$H57,$G57)</f>
        <v>6400000</v>
      </c>
    </row>
    <row r="67" spans="4:14" x14ac:dyDescent="0.35">
      <c r="E67" t="s">
        <v>119</v>
      </c>
      <c r="J67" s="33">
        <f>SLN(SUM($J58:J58),$H58,$G58)</f>
        <v>2000000</v>
      </c>
      <c r="K67" s="33">
        <f>SLN(SUM($J58:K58),$H58,$G58)</f>
        <v>2000000</v>
      </c>
      <c r="L67" s="33">
        <f>SLN(SUM($J58:L58),$H58,$G58)</f>
        <v>3000000</v>
      </c>
      <c r="M67" s="33">
        <f>SLN(SUM($J58:M58),$H58,$G58)</f>
        <v>3000000</v>
      </c>
      <c r="N67" s="33">
        <f>SLN(SUM($L58:N58),$H58,$G58)</f>
        <v>2000000</v>
      </c>
    </row>
    <row r="68" spans="4:14" ht="15" thickBot="1" x14ac:dyDescent="0.4">
      <c r="E68" t="s">
        <v>120</v>
      </c>
      <c r="F68" t="s">
        <v>129</v>
      </c>
      <c r="J68" s="39">
        <f>SLN($J59,$H59,$G59)</f>
        <v>466666.66666666669</v>
      </c>
      <c r="K68" s="39">
        <f t="shared" ref="K68:N68" si="7">SLN($J59,$H59,$G59)</f>
        <v>466666.66666666669</v>
      </c>
      <c r="L68" s="39">
        <f t="shared" si="7"/>
        <v>466666.66666666669</v>
      </c>
      <c r="M68" s="39">
        <f t="shared" si="7"/>
        <v>466666.66666666669</v>
      </c>
      <c r="N68" s="39">
        <f t="shared" si="7"/>
        <v>466666.66666666669</v>
      </c>
    </row>
    <row r="69" spans="4:14" ht="15.5" thickTop="1" thickBot="1" x14ac:dyDescent="0.4">
      <c r="J69" s="50">
        <f>SUM(J64:J68)</f>
        <v>15716666.666666666</v>
      </c>
      <c r="K69" s="50">
        <f t="shared" ref="K69:N69" si="8">SUM(K64:K68)</f>
        <v>15716666.666666666</v>
      </c>
      <c r="L69" s="50">
        <f t="shared" si="8"/>
        <v>20716666.666666668</v>
      </c>
      <c r="M69" s="50">
        <f t="shared" si="8"/>
        <v>23916666.666666668</v>
      </c>
      <c r="N69" s="50">
        <f t="shared" si="8"/>
        <v>21416666.666666668</v>
      </c>
    </row>
    <row r="70" spans="4:14" ht="15" thickTop="1" x14ac:dyDescent="0.35"/>
    <row r="71" spans="4:14" x14ac:dyDescent="0.35">
      <c r="D71" s="12" t="s">
        <v>133</v>
      </c>
    </row>
    <row r="72" spans="4:14" x14ac:dyDescent="0.35">
      <c r="E72" t="s">
        <v>111</v>
      </c>
      <c r="J72" s="33">
        <f>I72+J64</f>
        <v>7800000</v>
      </c>
      <c r="K72" s="33">
        <f t="shared" ref="K72:N72" si="9">J72+K64</f>
        <v>15600000</v>
      </c>
      <c r="L72" s="33">
        <f t="shared" si="9"/>
        <v>27400000</v>
      </c>
      <c r="M72" s="33">
        <f t="shared" si="9"/>
        <v>39200000</v>
      </c>
      <c r="N72" s="33">
        <f t="shared" si="9"/>
        <v>51000000</v>
      </c>
    </row>
    <row r="73" spans="4:14" x14ac:dyDescent="0.35">
      <c r="E73" t="s">
        <v>117</v>
      </c>
      <c r="J73" s="33">
        <f t="shared" ref="J73:N76" si="10">I73+J65</f>
        <v>2250000</v>
      </c>
      <c r="K73" s="33">
        <f t="shared" si="10"/>
        <v>4500000</v>
      </c>
      <c r="L73" s="33">
        <f t="shared" si="10"/>
        <v>6750000</v>
      </c>
      <c r="M73" s="33">
        <f t="shared" si="10"/>
        <v>9000000</v>
      </c>
      <c r="N73" s="33">
        <f t="shared" si="10"/>
        <v>9750000</v>
      </c>
    </row>
    <row r="74" spans="4:14" x14ac:dyDescent="0.35">
      <c r="E74" t="s">
        <v>118</v>
      </c>
      <c r="J74" s="33">
        <f t="shared" si="10"/>
        <v>3200000</v>
      </c>
      <c r="K74" s="33">
        <f t="shared" si="10"/>
        <v>6400000</v>
      </c>
      <c r="L74" s="33">
        <f t="shared" si="10"/>
        <v>9600000</v>
      </c>
      <c r="M74" s="33">
        <f t="shared" si="10"/>
        <v>16000000</v>
      </c>
      <c r="N74" s="33">
        <f t="shared" si="10"/>
        <v>22400000</v>
      </c>
    </row>
    <row r="75" spans="4:14" x14ac:dyDescent="0.35">
      <c r="E75" t="s">
        <v>119</v>
      </c>
      <c r="J75" s="33">
        <f t="shared" si="10"/>
        <v>2000000</v>
      </c>
      <c r="K75" s="33">
        <f t="shared" si="10"/>
        <v>4000000</v>
      </c>
      <c r="L75" s="33">
        <f t="shared" si="10"/>
        <v>7000000</v>
      </c>
      <c r="M75" s="33">
        <f t="shared" si="10"/>
        <v>10000000</v>
      </c>
      <c r="N75" s="33">
        <f t="shared" si="10"/>
        <v>12000000</v>
      </c>
    </row>
    <row r="76" spans="4:14" ht="15" thickBot="1" x14ac:dyDescent="0.4">
      <c r="E76" t="s">
        <v>120</v>
      </c>
      <c r="F76" t="s">
        <v>129</v>
      </c>
      <c r="J76" s="39">
        <f t="shared" si="10"/>
        <v>466666.66666666669</v>
      </c>
      <c r="K76" s="39">
        <f t="shared" si="10"/>
        <v>933333.33333333337</v>
      </c>
      <c r="L76" s="39">
        <f t="shared" si="10"/>
        <v>1400000</v>
      </c>
      <c r="M76" s="39">
        <f t="shared" si="10"/>
        <v>1866666.6666666667</v>
      </c>
      <c r="N76" s="39">
        <f t="shared" si="10"/>
        <v>2333333.3333333335</v>
      </c>
    </row>
    <row r="77" spans="4:14" ht="15.5" thickTop="1" thickBot="1" x14ac:dyDescent="0.4">
      <c r="J77" s="50">
        <f>SUM(J72:J76)</f>
        <v>15716666.666666666</v>
      </c>
      <c r="K77" s="50">
        <f t="shared" ref="K77:N77" si="11">SUM(K72:K76)</f>
        <v>31433333.333333332</v>
      </c>
      <c r="L77" s="50">
        <f t="shared" si="11"/>
        <v>52150000</v>
      </c>
      <c r="M77" s="50">
        <f t="shared" si="11"/>
        <v>76066666.666666672</v>
      </c>
      <c r="N77" s="50">
        <f t="shared" si="11"/>
        <v>97483333.333333328</v>
      </c>
    </row>
    <row r="78" spans="4:14" ht="15" thickTop="1" x14ac:dyDescent="0.35"/>
    <row r="79" spans="4:14" x14ac:dyDescent="0.35">
      <c r="D79" t="s">
        <v>134</v>
      </c>
    </row>
    <row r="80" spans="4:14" x14ac:dyDescent="0.35">
      <c r="E80" t="s">
        <v>135</v>
      </c>
      <c r="J80" s="45">
        <f>I80+J61</f>
        <v>93000000</v>
      </c>
      <c r="K80" s="45">
        <f t="shared" ref="K80:N80" si="12">J80+K61</f>
        <v>93000000</v>
      </c>
      <c r="L80" s="45">
        <f t="shared" si="12"/>
        <v>117000000</v>
      </c>
      <c r="M80" s="45">
        <f t="shared" si="12"/>
        <v>133000000</v>
      </c>
      <c r="N80" s="45">
        <f t="shared" si="12"/>
        <v>140000000</v>
      </c>
    </row>
    <row r="81" spans="3:14" x14ac:dyDescent="0.35">
      <c r="E81" t="s">
        <v>136</v>
      </c>
      <c r="J81" s="45">
        <f>-J77</f>
        <v>-15716666.666666666</v>
      </c>
      <c r="K81" s="45">
        <f t="shared" ref="K81:N81" si="13">-K77</f>
        <v>-31433333.333333332</v>
      </c>
      <c r="L81" s="45">
        <f t="shared" si="13"/>
        <v>-52150000</v>
      </c>
      <c r="M81" s="45">
        <f t="shared" si="13"/>
        <v>-76066666.666666672</v>
      </c>
      <c r="N81" s="45">
        <f t="shared" si="13"/>
        <v>-97483333.333333328</v>
      </c>
    </row>
    <row r="82" spans="3:14" ht="15" thickBot="1" x14ac:dyDescent="0.4">
      <c r="E82" t="s">
        <v>137</v>
      </c>
      <c r="J82" s="43">
        <f>J80+J81</f>
        <v>77283333.333333328</v>
      </c>
      <c r="K82" s="43">
        <f t="shared" ref="K82:N82" si="14">K80+K81</f>
        <v>61566666.666666672</v>
      </c>
      <c r="L82" s="43">
        <f t="shared" si="14"/>
        <v>64850000</v>
      </c>
      <c r="M82" s="43">
        <f t="shared" si="14"/>
        <v>56933333.333333328</v>
      </c>
      <c r="N82" s="43">
        <f t="shared" si="14"/>
        <v>42516666.666666672</v>
      </c>
    </row>
    <row r="83" spans="3:14" ht="15" thickTop="1" x14ac:dyDescent="0.35"/>
    <row r="84" spans="3:14" x14ac:dyDescent="0.35">
      <c r="C84" s="35" t="s">
        <v>157</v>
      </c>
      <c r="D84" s="1"/>
      <c r="E84" s="1"/>
      <c r="F84" s="1"/>
      <c r="G84" s="1"/>
      <c r="H84" s="1"/>
      <c r="I84" s="1"/>
      <c r="J84" s="1"/>
      <c r="K84" s="1"/>
      <c r="L84" s="1"/>
      <c r="M84" s="1"/>
      <c r="N84" s="1"/>
    </row>
    <row r="86" spans="3:14" x14ac:dyDescent="0.35">
      <c r="E86" t="s">
        <v>143</v>
      </c>
      <c r="J86" s="42">
        <f>J61</f>
        <v>93000000</v>
      </c>
    </row>
    <row r="87" spans="3:14" x14ac:dyDescent="0.35">
      <c r="E87" t="s">
        <v>144</v>
      </c>
    </row>
    <row r="88" spans="3:14" x14ac:dyDescent="0.35">
      <c r="F88" t="s">
        <v>145</v>
      </c>
      <c r="J88" s="27">
        <f>'Input data'!E129</f>
        <v>9000000</v>
      </c>
    </row>
    <row r="89" spans="3:14" x14ac:dyDescent="0.35">
      <c r="F89" t="s">
        <v>146</v>
      </c>
      <c r="H89" s="51">
        <v>3</v>
      </c>
      <c r="J89" s="42">
        <f>J26/H89</f>
        <v>62688000</v>
      </c>
    </row>
    <row r="90" spans="3:14" ht="15" thickBot="1" x14ac:dyDescent="0.4">
      <c r="F90" t="s">
        <v>147</v>
      </c>
      <c r="H90" s="51">
        <v>3</v>
      </c>
      <c r="J90" s="42">
        <f>J50/H90</f>
        <v>46209333.333333336</v>
      </c>
    </row>
    <row r="91" spans="3:14" ht="15.5" thickTop="1" thickBot="1" x14ac:dyDescent="0.4">
      <c r="J91" s="34">
        <f>SUM(J86:J90)</f>
        <v>210897333.33333334</v>
      </c>
    </row>
    <row r="92" spans="3:14" ht="15" thickTop="1" x14ac:dyDescent="0.35"/>
    <row r="93" spans="3:14" x14ac:dyDescent="0.35">
      <c r="E93" t="s">
        <v>148</v>
      </c>
      <c r="J93" s="42">
        <f>J91*'Input data'!E133</f>
        <v>147628133.33333334</v>
      </c>
    </row>
    <row r="94" spans="3:14" ht="15" thickBot="1" x14ac:dyDescent="0.4">
      <c r="E94" t="s">
        <v>149</v>
      </c>
      <c r="J94" s="42">
        <f>J91*'Input data'!E134</f>
        <v>63269200</v>
      </c>
    </row>
    <row r="95" spans="3:14" ht="15.5" thickTop="1" thickBot="1" x14ac:dyDescent="0.4">
      <c r="E95" t="s">
        <v>158</v>
      </c>
      <c r="J95" s="34">
        <f>SUM(J93:J94)</f>
        <v>210897333.33333334</v>
      </c>
    </row>
    <row r="96" spans="3:14" ht="15" thickTop="1" x14ac:dyDescent="0.35"/>
    <row r="97" spans="3:14" x14ac:dyDescent="0.35">
      <c r="C97" s="35" t="s">
        <v>159</v>
      </c>
      <c r="D97" s="1"/>
      <c r="E97" s="1"/>
      <c r="F97" s="1"/>
      <c r="G97" s="1"/>
      <c r="H97" s="1"/>
      <c r="I97" s="1"/>
      <c r="J97" s="1"/>
      <c r="K97" s="1"/>
      <c r="L97" s="1"/>
      <c r="M97" s="1"/>
      <c r="N97" s="1"/>
    </row>
    <row r="99" spans="3:14" x14ac:dyDescent="0.35">
      <c r="F99" t="s">
        <v>160</v>
      </c>
      <c r="J99" s="33">
        <f>I104</f>
        <v>0</v>
      </c>
      <c r="K99" s="33">
        <f t="shared" ref="K99:N99" si="15">J104</f>
        <v>59156702</v>
      </c>
      <c r="L99" s="33">
        <f t="shared" si="15"/>
        <v>55311516.370000005</v>
      </c>
      <c r="M99" s="33">
        <f t="shared" si="15"/>
        <v>51716267.805950008</v>
      </c>
      <c r="N99" s="33">
        <f t="shared" si="15"/>
        <v>48354710.398563251</v>
      </c>
    </row>
    <row r="100" spans="3:14" x14ac:dyDescent="0.35">
      <c r="F100" t="s">
        <v>161</v>
      </c>
      <c r="J100" s="45">
        <f>J94</f>
        <v>63269200</v>
      </c>
      <c r="K100" s="13"/>
      <c r="L100" s="13"/>
      <c r="M100" s="13"/>
      <c r="N100" s="13"/>
    </row>
    <row r="101" spans="3:14" x14ac:dyDescent="0.35">
      <c r="F101" t="s">
        <v>162</v>
      </c>
      <c r="J101" s="33">
        <f>SUM(J99:J100)*'Input data'!$E$141</f>
        <v>6326920</v>
      </c>
      <c r="K101" s="33">
        <f>SUM(K99:K100)*'Input data'!$E$141</f>
        <v>5915670.2000000002</v>
      </c>
      <c r="L101" s="33">
        <f>SUM(L99:L100)*'Input data'!$E$141</f>
        <v>5531151.637000001</v>
      </c>
      <c r="M101" s="33">
        <f>SUM(M99:M100)*'Input data'!$E$141</f>
        <v>5171626.7805950008</v>
      </c>
      <c r="N101" s="33">
        <f>SUM(N99:N100)*'Input data'!$E$141</f>
        <v>4835471.0398563249</v>
      </c>
    </row>
    <row r="102" spans="3:14" x14ac:dyDescent="0.35">
      <c r="F102" t="s">
        <v>163</v>
      </c>
      <c r="J102" s="33">
        <f>-SUM(J99:J101)*'Input data'!$E$142</f>
        <v>-10439418</v>
      </c>
      <c r="K102" s="33">
        <f>-SUM(K99:K101)*'Input data'!$E$142</f>
        <v>-9760855.8300000001</v>
      </c>
      <c r="L102" s="33">
        <f>-SUM(L99:L101)*'Input data'!$E$142</f>
        <v>-9126400.2010500003</v>
      </c>
      <c r="M102" s="33">
        <f>-SUM(M99:M101)*'Input data'!$E$142</f>
        <v>-8533184.1879817508</v>
      </c>
      <c r="N102" s="33">
        <f>-SUM(N99:N101)*'Input data'!$E$142</f>
        <v>-7978527.2157629356</v>
      </c>
    </row>
    <row r="103" spans="3:14" x14ac:dyDescent="0.35">
      <c r="F103" t="s">
        <v>164</v>
      </c>
      <c r="J103" s="13">
        <v>0</v>
      </c>
      <c r="K103" s="13"/>
      <c r="L103" s="13"/>
      <c r="M103" s="13"/>
      <c r="N103" s="53">
        <f>-IF(N7='Input data'!E144,SUM(workings!N99:N102))</f>
        <v>-45211654.222656637</v>
      </c>
    </row>
    <row r="104" spans="3:14" x14ac:dyDescent="0.35">
      <c r="F104" t="s">
        <v>165</v>
      </c>
      <c r="J104" s="56">
        <f>SUM(J99:J103)</f>
        <v>59156702</v>
      </c>
      <c r="K104" s="56">
        <f t="shared" ref="K104:N104" si="16">SUM(K99:K103)</f>
        <v>55311516.370000005</v>
      </c>
      <c r="L104" s="56">
        <f t="shared" si="16"/>
        <v>51716267.805950008</v>
      </c>
      <c r="M104" s="56">
        <f t="shared" si="16"/>
        <v>48354710.398563251</v>
      </c>
      <c r="N104" s="56">
        <f t="shared" si="16"/>
        <v>0</v>
      </c>
    </row>
    <row r="105" spans="3:14" x14ac:dyDescent="0.35">
      <c r="F105" t="s">
        <v>22</v>
      </c>
      <c r="J105" s="45">
        <f>$J$100-J104</f>
        <v>4112498</v>
      </c>
      <c r="K105" s="45">
        <f t="shared" ref="K105:N105" si="17">$J$100-K104</f>
        <v>7957683.6299999952</v>
      </c>
      <c r="L105" s="45">
        <f t="shared" si="17"/>
        <v>11552932.194049992</v>
      </c>
      <c r="M105" s="45">
        <f t="shared" si="17"/>
        <v>14914489.601436749</v>
      </c>
      <c r="N105" s="45">
        <f t="shared" si="17"/>
        <v>63269200</v>
      </c>
    </row>
    <row r="107" spans="3:14" x14ac:dyDescent="0.35">
      <c r="C107" s="35" t="s">
        <v>167</v>
      </c>
      <c r="D107" s="1"/>
      <c r="E107" s="1"/>
      <c r="F107" s="1"/>
      <c r="G107" s="1"/>
      <c r="H107" s="1"/>
      <c r="I107" s="1"/>
      <c r="J107" s="1"/>
      <c r="K107" s="1"/>
      <c r="L107" s="1"/>
      <c r="M107" s="1"/>
      <c r="N107" s="1"/>
    </row>
    <row r="109" spans="3:14" x14ac:dyDescent="0.35">
      <c r="F109" t="s">
        <v>168</v>
      </c>
      <c r="J109" s="42">
        <f>J16/'Input data'!J9</f>
        <v>6336000</v>
      </c>
      <c r="K109" s="42">
        <f>K16/'Input data'!K9</f>
        <v>7061760</v>
      </c>
      <c r="L109" s="42">
        <f>L16/'Input data'!L9</f>
        <v>7841280</v>
      </c>
      <c r="M109" s="42">
        <f>M16/'Input data'!M9</f>
        <v>9133200</v>
      </c>
      <c r="N109" s="42">
        <f>N16/'Input data'!N9</f>
        <v>10335600</v>
      </c>
    </row>
    <row r="111" spans="3:14" x14ac:dyDescent="0.35">
      <c r="C111" s="35" t="s">
        <v>169</v>
      </c>
      <c r="D111" s="1"/>
      <c r="E111" s="1"/>
      <c r="F111" s="1"/>
      <c r="G111" s="1"/>
      <c r="H111" s="1"/>
      <c r="I111" s="1"/>
      <c r="J111" s="1"/>
      <c r="K111" s="1"/>
      <c r="L111" s="1"/>
      <c r="M111" s="1"/>
      <c r="N111" s="1"/>
    </row>
    <row r="113" spans="3:14" x14ac:dyDescent="0.35">
      <c r="F113" t="s">
        <v>170</v>
      </c>
      <c r="J113" s="42">
        <f>J28/'Input data'!J9</f>
        <v>3326399.9999999995</v>
      </c>
      <c r="K113" s="42">
        <f>K28/'Input data'!K9</f>
        <v>3707424</v>
      </c>
      <c r="L113" s="42">
        <f>L28/'Input data'!L9</f>
        <v>4116672</v>
      </c>
      <c r="M113" s="42">
        <f>M28/'Input data'!M9</f>
        <v>4794930</v>
      </c>
      <c r="N113" s="42">
        <f>N28/'Input data'!N9</f>
        <v>5426190</v>
      </c>
    </row>
    <row r="115" spans="3:14" x14ac:dyDescent="0.35">
      <c r="C115" s="35" t="s">
        <v>177</v>
      </c>
      <c r="D115" s="1"/>
      <c r="E115" s="1"/>
      <c r="F115" s="1"/>
      <c r="G115" s="1"/>
      <c r="H115" s="1"/>
      <c r="I115" s="1"/>
      <c r="J115" s="1"/>
      <c r="K115" s="1"/>
      <c r="L115" s="1"/>
      <c r="M115" s="1"/>
      <c r="N115" s="1"/>
    </row>
    <row r="117" spans="3:14" x14ac:dyDescent="0.35">
      <c r="F117" t="s">
        <v>178</v>
      </c>
      <c r="J117" s="62">
        <f>'Income Statement'!I24</f>
        <v>27311915.333333336</v>
      </c>
      <c r="K117" s="62">
        <f>'Income Statement'!J24</f>
        <v>58700557.50333333</v>
      </c>
      <c r="L117" s="62">
        <f>'Income Statement'!K24</f>
        <v>79459173.13228333</v>
      </c>
      <c r="M117" s="62">
        <f>'Income Statement'!L24</f>
        <v>119365749.14535157</v>
      </c>
      <c r="N117" s="62">
        <f>'Income Statement'!M24</f>
        <v>116767951.89491376</v>
      </c>
    </row>
    <row r="118" spans="3:14" x14ac:dyDescent="0.35">
      <c r="J118" s="13"/>
      <c r="K118" s="13"/>
      <c r="L118" s="13"/>
      <c r="M118" s="13"/>
      <c r="N118" s="13"/>
    </row>
    <row r="119" spans="3:14" x14ac:dyDescent="0.35">
      <c r="F119" t="s">
        <v>179</v>
      </c>
      <c r="J119" s="33">
        <f>IF(J117&gt;0,J117*'Input data'!$E$16,0)</f>
        <v>8876372.4833333343</v>
      </c>
      <c r="K119" s="33">
        <f>IF(K117&gt;0,K117*'Input data'!$E$16,0)</f>
        <v>19077681.188583333</v>
      </c>
      <c r="L119" s="33">
        <f>IF(L117&gt;0,L117*'Input data'!$E$16,0)</f>
        <v>25824231.267992083</v>
      </c>
      <c r="M119" s="33">
        <f>IF(M117&gt;0,M117*'Input data'!$E$16,0)</f>
        <v>38793868.472239263</v>
      </c>
      <c r="N119" s="33">
        <f>IF(N117&gt;0,N117*'Input data'!$E$16,0)</f>
        <v>37949584.365846977</v>
      </c>
    </row>
    <row r="121" spans="3:14" x14ac:dyDescent="0.35">
      <c r="C121" s="35" t="s">
        <v>183</v>
      </c>
      <c r="D121" s="1"/>
      <c r="E121" s="1"/>
      <c r="F121" s="1"/>
      <c r="G121" s="1"/>
      <c r="H121" s="1"/>
      <c r="I121" s="1"/>
      <c r="J121" s="1"/>
      <c r="K121" s="1"/>
      <c r="L121" s="1"/>
      <c r="M121" s="1"/>
      <c r="N121" s="1"/>
    </row>
    <row r="123" spans="3:14" x14ac:dyDescent="0.35">
      <c r="F123" t="s">
        <v>180</v>
      </c>
      <c r="J123" s="62">
        <f>'Income Statement'!I28</f>
        <v>18435542.850000001</v>
      </c>
      <c r="K123" s="62">
        <f>'Income Statement'!J28</f>
        <v>39622876.314750001</v>
      </c>
      <c r="L123" s="62">
        <f>'Income Statement'!K28</f>
        <v>53634941.864291251</v>
      </c>
      <c r="M123" s="62">
        <f>'Income Statement'!L28</f>
        <v>80571880.673112303</v>
      </c>
      <c r="N123" s="62">
        <f>'Income Statement'!M28</f>
        <v>78818367.529066786</v>
      </c>
    </row>
    <row r="124" spans="3:14" x14ac:dyDescent="0.35">
      <c r="J124" s="13"/>
      <c r="K124" s="13"/>
      <c r="L124" s="13"/>
      <c r="M124" s="13"/>
      <c r="N124" s="13"/>
    </row>
    <row r="125" spans="3:14" x14ac:dyDescent="0.35">
      <c r="F125" t="s">
        <v>182</v>
      </c>
      <c r="J125" s="33">
        <f>IF(J123&gt;0,J123*'Input data'!$E$138,0)</f>
        <v>3687108.5700000003</v>
      </c>
      <c r="K125" s="33">
        <f>IF(K123&gt;0,K123*'Input data'!$E$138,0)</f>
        <v>7924575.2629500004</v>
      </c>
      <c r="L125" s="33">
        <f>IF(L123&gt;0,L123*'Input data'!$E$138,0)</f>
        <v>10726988.372858251</v>
      </c>
      <c r="M125" s="33">
        <f>IF(M123&gt;0,M123*'Input data'!$E$138,0)</f>
        <v>16114376.134622462</v>
      </c>
      <c r="N125" s="33">
        <f>IF(N123&gt;0,N123*'Input data'!$E$138,0)</f>
        <v>15763673.505813358</v>
      </c>
    </row>
    <row r="127" spans="3:14" x14ac:dyDescent="0.35">
      <c r="C127" s="35" t="s">
        <v>229</v>
      </c>
      <c r="D127" s="1"/>
      <c r="E127" s="1"/>
      <c r="F127" s="1"/>
      <c r="G127" s="1"/>
      <c r="H127" s="1"/>
      <c r="I127" s="1"/>
      <c r="J127" s="1"/>
      <c r="K127" s="1"/>
      <c r="L127" s="1"/>
      <c r="M127" s="1"/>
      <c r="N127" s="1"/>
    </row>
    <row r="129" spans="3:14" x14ac:dyDescent="0.35">
      <c r="F129" t="s">
        <v>230</v>
      </c>
      <c r="J129" s="62">
        <f>-'Income Statement'!I22</f>
        <v>10439418</v>
      </c>
      <c r="K129" s="62">
        <f>-'Income Statement'!J22</f>
        <v>9760855.8300000001</v>
      </c>
      <c r="L129" s="62">
        <f>-'Income Statement'!K22</f>
        <v>9126400.2010500003</v>
      </c>
      <c r="M129" s="62">
        <f>-'Income Statement'!L22</f>
        <v>8533184.1879817508</v>
      </c>
      <c r="N129" s="62">
        <f>-'Income Statement'!M22</f>
        <v>53190181.438419573</v>
      </c>
    </row>
    <row r="130" spans="3:14" x14ac:dyDescent="0.35">
      <c r="F130" t="s">
        <v>63</v>
      </c>
      <c r="J130" s="80">
        <f>'Input data'!$E$16</f>
        <v>0.32500000000000001</v>
      </c>
      <c r="K130" s="80">
        <f>'Input data'!$E$16</f>
        <v>0.32500000000000001</v>
      </c>
      <c r="L130" s="80">
        <f>'Input data'!$E$16</f>
        <v>0.32500000000000001</v>
      </c>
      <c r="M130" s="80">
        <f>'Input data'!$E$16</f>
        <v>0.32500000000000001</v>
      </c>
      <c r="N130" s="80">
        <f>'Input data'!$E$16</f>
        <v>0.32500000000000001</v>
      </c>
    </row>
    <row r="131" spans="3:14" x14ac:dyDescent="0.35">
      <c r="F131" t="s">
        <v>231</v>
      </c>
      <c r="J131" s="80">
        <f>1-J130</f>
        <v>0.67500000000000004</v>
      </c>
      <c r="K131" s="80">
        <f t="shared" ref="K131:N131" si="18">1-K130</f>
        <v>0.67500000000000004</v>
      </c>
      <c r="L131" s="80">
        <f t="shared" si="18"/>
        <v>0.67500000000000004</v>
      </c>
      <c r="M131" s="80">
        <f t="shared" si="18"/>
        <v>0.67500000000000004</v>
      </c>
      <c r="N131" s="80">
        <f t="shared" si="18"/>
        <v>0.67500000000000004</v>
      </c>
    </row>
    <row r="132" spans="3:14" x14ac:dyDescent="0.35">
      <c r="F132" s="12" t="s">
        <v>232</v>
      </c>
      <c r="J132" s="56">
        <f>J129*J131</f>
        <v>7046607.1500000004</v>
      </c>
      <c r="K132" s="56">
        <f t="shared" ref="K132:N132" si="19">K129*K131</f>
        <v>6588577.6852500001</v>
      </c>
      <c r="L132" s="56">
        <f t="shared" si="19"/>
        <v>6160320.1357087502</v>
      </c>
      <c r="M132" s="56">
        <f t="shared" si="19"/>
        <v>5759899.3268876821</v>
      </c>
      <c r="N132" s="56">
        <f t="shared" si="19"/>
        <v>35903372.470933214</v>
      </c>
    </row>
    <row r="134" spans="3:14" x14ac:dyDescent="0.35">
      <c r="C134" s="35" t="s">
        <v>241</v>
      </c>
      <c r="D134" s="1"/>
      <c r="E134" s="1"/>
      <c r="F134" s="1"/>
      <c r="G134" s="1"/>
      <c r="H134" s="1"/>
      <c r="I134" s="1"/>
      <c r="J134" s="1"/>
      <c r="K134" s="1"/>
      <c r="L134" s="1"/>
      <c r="M134" s="1"/>
      <c r="N134" s="1"/>
    </row>
    <row r="136" spans="3:14" x14ac:dyDescent="0.35">
      <c r="F136" t="s">
        <v>242</v>
      </c>
      <c r="H136" s="83">
        <f>((H139/H144)*H138)+((H142/H144)*H141*(1-H145))</f>
        <v>0.15444326384953277</v>
      </c>
      <c r="J136" t="s">
        <v>254</v>
      </c>
    </row>
    <row r="138" spans="3:14" x14ac:dyDescent="0.35">
      <c r="F138" t="s">
        <v>151</v>
      </c>
      <c r="H138" s="25">
        <f>G150</f>
        <v>0.17724037692790393</v>
      </c>
    </row>
    <row r="139" spans="3:14" x14ac:dyDescent="0.35">
      <c r="F139" t="s">
        <v>243</v>
      </c>
      <c r="H139" s="42">
        <f>J93</f>
        <v>147628133.33333334</v>
      </c>
      <c r="I139">
        <f>H139/H144</f>
        <v>0.70000000000000007</v>
      </c>
    </row>
    <row r="141" spans="3:14" x14ac:dyDescent="0.35">
      <c r="F141" t="s">
        <v>244</v>
      </c>
      <c r="H141" s="24">
        <f>'Input data'!E142</f>
        <v>0.15</v>
      </c>
    </row>
    <row r="142" spans="3:14" x14ac:dyDescent="0.35">
      <c r="F142" t="s">
        <v>245</v>
      </c>
      <c r="H142" s="42">
        <f>J94</f>
        <v>63269200</v>
      </c>
      <c r="I142">
        <f>H142/H144</f>
        <v>0.3</v>
      </c>
    </row>
    <row r="144" spans="3:14" x14ac:dyDescent="0.35">
      <c r="F144" t="s">
        <v>246</v>
      </c>
      <c r="H144" s="42">
        <f>H139+H142</f>
        <v>210897333.33333334</v>
      </c>
      <c r="I144">
        <f>SUM(I139:I143)</f>
        <v>1</v>
      </c>
    </row>
    <row r="145" spans="3:14" x14ac:dyDescent="0.35">
      <c r="F145" t="s">
        <v>63</v>
      </c>
      <c r="H145" s="82">
        <f>'Input data'!E16</f>
        <v>0.32500000000000001</v>
      </c>
    </row>
    <row r="147" spans="3:14" x14ac:dyDescent="0.35">
      <c r="C147" s="35" t="s">
        <v>151</v>
      </c>
      <c r="D147" s="1"/>
      <c r="E147" s="1"/>
      <c r="F147" s="1"/>
      <c r="G147" s="1"/>
      <c r="H147" s="1"/>
      <c r="I147" s="1"/>
      <c r="J147" s="1"/>
      <c r="K147" s="1"/>
      <c r="L147" s="1"/>
      <c r="M147" s="1"/>
      <c r="N147" s="1"/>
    </row>
    <row r="149" spans="3:14" x14ac:dyDescent="0.35">
      <c r="D149" t="s">
        <v>248</v>
      </c>
      <c r="F149" t="s">
        <v>247</v>
      </c>
      <c r="G149" t="s">
        <v>253</v>
      </c>
    </row>
    <row r="150" spans="3:14" x14ac:dyDescent="0.35">
      <c r="G150" s="82">
        <f>K150+(K153*(K155-K150))</f>
        <v>0.17724037692790393</v>
      </c>
      <c r="J150" t="s">
        <v>249</v>
      </c>
      <c r="K150" s="23">
        <v>0.20646</v>
      </c>
    </row>
    <row r="153" spans="3:14" x14ac:dyDescent="0.35">
      <c r="J153" t="s">
        <v>250</v>
      </c>
      <c r="K153" s="26">
        <f>L153*(1+60%)</f>
        <v>1.5680000000000001</v>
      </c>
      <c r="L153">
        <v>0.98</v>
      </c>
    </row>
    <row r="155" spans="3:14" x14ac:dyDescent="0.35">
      <c r="J155" t="s">
        <v>251</v>
      </c>
      <c r="K155" s="82">
        <f>_xlfn.RRI(L156-L157,M157,M156)</f>
        <v>0.18782503630606118</v>
      </c>
      <c r="L155" t="s">
        <v>252</v>
      </c>
    </row>
    <row r="156" spans="3:14" x14ac:dyDescent="0.35">
      <c r="L156">
        <v>2024</v>
      </c>
      <c r="M156" s="27">
        <v>97746</v>
      </c>
    </row>
    <row r="157" spans="3:14" x14ac:dyDescent="0.35">
      <c r="L157">
        <v>1984</v>
      </c>
      <c r="M157">
        <v>100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4" r:id="rId3" name="Drop Down 4">
              <controlPr defaultSize="0" autoLine="0" autoPict="0">
                <anchor moveWithCells="1">
                  <from>
                    <xdr:col>3</xdr:col>
                    <xdr:colOff>152400</xdr:colOff>
                    <xdr:row>1</xdr:row>
                    <xdr:rowOff>6350</xdr:rowOff>
                  </from>
                  <to>
                    <xdr:col>4</xdr:col>
                    <xdr:colOff>438150</xdr:colOff>
                    <xdr:row>2</xdr:row>
                    <xdr:rowOff>76200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EE6D9-844D-427E-BACD-5B365E755035}">
  <dimension ref="C2:M70"/>
  <sheetViews>
    <sheetView showGridLines="0" workbookViewId="0">
      <selection activeCell="M3" sqref="M3"/>
    </sheetView>
  </sheetViews>
  <sheetFormatPr defaultRowHeight="14.5" x14ac:dyDescent="0.35"/>
  <cols>
    <col min="3" max="3" width="12.81640625" customWidth="1"/>
    <col min="8" max="8" width="11.6328125" customWidth="1"/>
    <col min="9" max="9" width="15.90625" customWidth="1"/>
    <col min="10" max="10" width="12.08984375" customWidth="1"/>
    <col min="11" max="11" width="12.36328125" customWidth="1"/>
    <col min="12" max="12" width="13.6328125" customWidth="1"/>
    <col min="13" max="13" width="12.1796875" customWidth="1"/>
  </cols>
  <sheetData>
    <row r="2" spans="3:13" x14ac:dyDescent="0.35">
      <c r="C2" t="s">
        <v>43</v>
      </c>
      <c r="G2" t="s">
        <v>0</v>
      </c>
      <c r="L2" t="s">
        <v>44</v>
      </c>
      <c r="M2" s="107">
        <f ca="1">TODAY()</f>
        <v>45710</v>
      </c>
    </row>
    <row r="4" spans="3:13" ht="26" x14ac:dyDescent="0.6">
      <c r="C4" s="21" t="s">
        <v>7</v>
      </c>
      <c r="D4" s="15"/>
      <c r="E4" s="15"/>
      <c r="F4" s="15"/>
      <c r="G4" s="15"/>
      <c r="H4" s="15"/>
      <c r="I4" s="15"/>
      <c r="J4" s="15"/>
      <c r="K4" s="15"/>
      <c r="L4" s="15"/>
      <c r="M4" s="15"/>
    </row>
    <row r="5" spans="3:13" x14ac:dyDescent="0.35">
      <c r="C5" s="15"/>
      <c r="D5" s="15"/>
      <c r="E5" s="15"/>
      <c r="F5" s="15"/>
      <c r="G5" s="15"/>
      <c r="H5" s="15"/>
      <c r="I5" s="15"/>
      <c r="J5" s="15"/>
      <c r="K5" s="15"/>
      <c r="L5" s="15"/>
      <c r="M5" s="15"/>
    </row>
    <row r="7" spans="3:13" ht="15" thickBot="1" x14ac:dyDescent="0.4">
      <c r="H7" s="57">
        <v>2023</v>
      </c>
      <c r="I7" s="57">
        <f>H7+1</f>
        <v>2024</v>
      </c>
      <c r="J7" s="57">
        <f t="shared" ref="J7:M7" si="0">I7+1</f>
        <v>2025</v>
      </c>
      <c r="K7" s="57">
        <f>J7+1</f>
        <v>2026</v>
      </c>
      <c r="L7" s="57">
        <f t="shared" si="0"/>
        <v>2027</v>
      </c>
      <c r="M7" s="57">
        <f t="shared" si="0"/>
        <v>2028</v>
      </c>
    </row>
    <row r="8" spans="3:13" ht="15" thickTop="1" x14ac:dyDescent="0.35">
      <c r="H8" s="58"/>
      <c r="I8" s="58"/>
      <c r="J8" s="58"/>
      <c r="K8" s="58"/>
      <c r="L8" s="58"/>
      <c r="M8" s="58"/>
    </row>
    <row r="9" spans="3:13" x14ac:dyDescent="0.35">
      <c r="C9" s="12" t="s">
        <v>8</v>
      </c>
      <c r="H9" s="58"/>
      <c r="I9" s="67">
        <f>workings!J14</f>
        <v>380160000</v>
      </c>
      <c r="J9" s="67">
        <f>workings!K14</f>
        <v>423705600</v>
      </c>
      <c r="K9" s="67">
        <f>workings!L14</f>
        <v>470476800</v>
      </c>
      <c r="L9" s="67">
        <f>workings!M14</f>
        <v>547992000</v>
      </c>
      <c r="M9" s="67">
        <f>workings!N14</f>
        <v>620136000</v>
      </c>
    </row>
    <row r="10" spans="3:13" x14ac:dyDescent="0.35">
      <c r="C10" s="12" t="s">
        <v>9</v>
      </c>
      <c r="H10" s="58"/>
      <c r="I10" s="62">
        <f>-workings!J26</f>
        <v>-188064000</v>
      </c>
      <c r="J10" s="62">
        <f>-workings!K26</f>
        <v>-205482240</v>
      </c>
      <c r="K10" s="62">
        <f>-workings!L26</f>
        <v>-224190720</v>
      </c>
      <c r="L10" s="62">
        <f>-workings!M26</f>
        <v>-255196800</v>
      </c>
      <c r="M10" s="62">
        <f>-workings!N26</f>
        <v>-284054400</v>
      </c>
    </row>
    <row r="11" spans="3:13" ht="15" thickBot="1" x14ac:dyDescent="0.4">
      <c r="C11" s="12"/>
      <c r="H11" s="58"/>
      <c r="I11" s="76"/>
      <c r="J11" s="76"/>
      <c r="K11" s="76"/>
      <c r="L11" s="76"/>
      <c r="M11" s="76"/>
    </row>
    <row r="12" spans="3:13" ht="15" thickTop="1" x14ac:dyDescent="0.35">
      <c r="C12" s="12" t="s">
        <v>10</v>
      </c>
      <c r="H12" s="58"/>
      <c r="I12" s="61">
        <f>I9+I10</f>
        <v>192096000</v>
      </c>
      <c r="J12" s="61">
        <f t="shared" ref="J12:M12" si="1">J9+J10</f>
        <v>218223360</v>
      </c>
      <c r="K12" s="61">
        <f t="shared" si="1"/>
        <v>246286080</v>
      </c>
      <c r="L12" s="61">
        <f t="shared" si="1"/>
        <v>292795200</v>
      </c>
      <c r="M12" s="61">
        <f t="shared" si="1"/>
        <v>336081600</v>
      </c>
    </row>
    <row r="13" spans="3:13" x14ac:dyDescent="0.35">
      <c r="C13" s="12"/>
      <c r="H13" s="58"/>
      <c r="I13" s="58"/>
      <c r="J13" s="58"/>
      <c r="K13" s="58"/>
      <c r="L13" s="58"/>
      <c r="M13" s="58"/>
    </row>
    <row r="14" spans="3:13" x14ac:dyDescent="0.35">
      <c r="C14" s="12" t="s">
        <v>147</v>
      </c>
      <c r="H14" s="58"/>
      <c r="I14" s="62">
        <f>-workings!J50</f>
        <v>-138628000</v>
      </c>
      <c r="J14" s="62">
        <f>-workings!K50</f>
        <v>-134045280</v>
      </c>
      <c r="K14" s="62">
        <f>-workings!L50</f>
        <v>-136983840</v>
      </c>
      <c r="L14" s="62">
        <f>-workings!M50</f>
        <v>-140979600</v>
      </c>
      <c r="M14" s="62">
        <f>-workings!N50</f>
        <v>-144706800</v>
      </c>
    </row>
    <row r="15" spans="3:13" ht="15" thickBot="1" x14ac:dyDescent="0.4">
      <c r="H15" s="58"/>
      <c r="I15" s="76"/>
      <c r="J15" s="76"/>
      <c r="K15" s="76"/>
      <c r="L15" s="76"/>
      <c r="M15" s="76"/>
    </row>
    <row r="16" spans="3:13" ht="15" thickTop="1" x14ac:dyDescent="0.35">
      <c r="C16" s="12" t="s">
        <v>171</v>
      </c>
      <c r="H16" s="58"/>
      <c r="I16" s="61">
        <f>I12+I14</f>
        <v>53468000</v>
      </c>
      <c r="J16" s="61">
        <f t="shared" ref="J16:M16" si="2">J12+J14</f>
        <v>84178080</v>
      </c>
      <c r="K16" s="61">
        <f t="shared" si="2"/>
        <v>109302240</v>
      </c>
      <c r="L16" s="61">
        <f t="shared" si="2"/>
        <v>151815600</v>
      </c>
      <c r="M16" s="61">
        <f t="shared" si="2"/>
        <v>191374800</v>
      </c>
    </row>
    <row r="17" spans="3:13" x14ac:dyDescent="0.35">
      <c r="H17" s="58"/>
      <c r="I17" s="58"/>
      <c r="J17" s="58"/>
      <c r="K17" s="58"/>
      <c r="L17" s="58"/>
      <c r="M17" s="58"/>
    </row>
    <row r="18" spans="3:13" x14ac:dyDescent="0.35">
      <c r="C18" s="12" t="s">
        <v>172</v>
      </c>
      <c r="H18" s="58"/>
      <c r="I18" s="62">
        <f>-workings!J69</f>
        <v>-15716666.666666666</v>
      </c>
      <c r="J18" s="62">
        <f>-workings!K69</f>
        <v>-15716666.666666666</v>
      </c>
      <c r="K18" s="62">
        <f>-workings!L69</f>
        <v>-20716666.666666668</v>
      </c>
      <c r="L18" s="62">
        <f>-workings!M69</f>
        <v>-23916666.666666668</v>
      </c>
      <c r="M18" s="62">
        <f>-workings!N69</f>
        <v>-21416666.666666668</v>
      </c>
    </row>
    <row r="19" spans="3:13" ht="15" thickBot="1" x14ac:dyDescent="0.4">
      <c r="H19" s="58"/>
      <c r="I19" s="76"/>
      <c r="J19" s="76"/>
      <c r="K19" s="76"/>
      <c r="L19" s="76"/>
      <c r="M19" s="76"/>
    </row>
    <row r="20" spans="3:13" ht="15" thickTop="1" x14ac:dyDescent="0.35">
      <c r="C20" s="12" t="s">
        <v>173</v>
      </c>
      <c r="H20" s="58"/>
      <c r="I20" s="61">
        <f>I16+I18</f>
        <v>37751333.333333336</v>
      </c>
      <c r="J20" s="61">
        <f t="shared" ref="J20:M20" si="3">J16+J18</f>
        <v>68461413.333333328</v>
      </c>
      <c r="K20" s="61">
        <f t="shared" si="3"/>
        <v>88585573.333333328</v>
      </c>
      <c r="L20" s="61">
        <f t="shared" si="3"/>
        <v>127898933.33333333</v>
      </c>
      <c r="M20" s="61">
        <f t="shared" si="3"/>
        <v>169958133.33333334</v>
      </c>
    </row>
    <row r="21" spans="3:13" x14ac:dyDescent="0.35">
      <c r="H21" s="58"/>
      <c r="I21" s="58"/>
      <c r="J21" s="58"/>
      <c r="K21" s="58"/>
      <c r="L21" s="58"/>
      <c r="M21" s="58"/>
    </row>
    <row r="22" spans="3:13" x14ac:dyDescent="0.35">
      <c r="C22" s="12" t="s">
        <v>174</v>
      </c>
      <c r="H22" s="58"/>
      <c r="I22" s="62">
        <f>workings!J102+workings!J103</f>
        <v>-10439418</v>
      </c>
      <c r="J22" s="62">
        <f>workings!K102+workings!K103</f>
        <v>-9760855.8300000001</v>
      </c>
      <c r="K22" s="62">
        <f>workings!L102+workings!L103</f>
        <v>-9126400.2010500003</v>
      </c>
      <c r="L22" s="62">
        <f>workings!M102+workings!M103</f>
        <v>-8533184.1879817508</v>
      </c>
      <c r="M22" s="62">
        <f>workings!N102+workings!N103</f>
        <v>-53190181.438419573</v>
      </c>
    </row>
    <row r="23" spans="3:13" ht="15" thickBot="1" x14ac:dyDescent="0.4">
      <c r="H23" s="58"/>
      <c r="I23" s="76"/>
      <c r="J23" s="76"/>
      <c r="K23" s="76"/>
      <c r="L23" s="76"/>
      <c r="M23" s="76"/>
    </row>
    <row r="24" spans="3:13" ht="15" thickTop="1" x14ac:dyDescent="0.35">
      <c r="C24" s="12" t="s">
        <v>175</v>
      </c>
      <c r="H24" s="58"/>
      <c r="I24" s="61">
        <f>I20+I22</f>
        <v>27311915.333333336</v>
      </c>
      <c r="J24" s="61">
        <f t="shared" ref="J24:M24" si="4">J20+J22</f>
        <v>58700557.50333333</v>
      </c>
      <c r="K24" s="61">
        <f t="shared" si="4"/>
        <v>79459173.13228333</v>
      </c>
      <c r="L24" s="61">
        <f t="shared" si="4"/>
        <v>119365749.14535157</v>
      </c>
      <c r="M24" s="61">
        <f t="shared" si="4"/>
        <v>116767951.89491376</v>
      </c>
    </row>
    <row r="25" spans="3:13" x14ac:dyDescent="0.35">
      <c r="H25" s="58"/>
      <c r="I25" s="58"/>
      <c r="J25" s="58"/>
      <c r="K25" s="58"/>
      <c r="L25" s="58"/>
      <c r="M25" s="58"/>
    </row>
    <row r="26" spans="3:13" x14ac:dyDescent="0.35">
      <c r="C26" s="12" t="s">
        <v>176</v>
      </c>
      <c r="H26" s="58"/>
      <c r="I26" s="62">
        <f>-workings!J119</f>
        <v>-8876372.4833333343</v>
      </c>
      <c r="J26" s="62">
        <f>-workings!K119</f>
        <v>-19077681.188583333</v>
      </c>
      <c r="K26" s="62">
        <f>-workings!L119</f>
        <v>-25824231.267992083</v>
      </c>
      <c r="L26" s="62">
        <f>-workings!M119</f>
        <v>-38793868.472239263</v>
      </c>
      <c r="M26" s="62">
        <f>-workings!N119</f>
        <v>-37949584.365846977</v>
      </c>
    </row>
    <row r="27" spans="3:13" ht="15" thickBot="1" x14ac:dyDescent="0.4">
      <c r="H27" s="58"/>
      <c r="I27" s="76"/>
      <c r="J27" s="76"/>
      <c r="K27" s="76"/>
      <c r="L27" s="76"/>
      <c r="M27" s="76"/>
    </row>
    <row r="28" spans="3:13" ht="15.5" thickTop="1" thickBot="1" x14ac:dyDescent="0.4">
      <c r="C28" s="12" t="s">
        <v>181</v>
      </c>
      <c r="H28" s="58"/>
      <c r="I28" s="63">
        <f>I24+I26</f>
        <v>18435542.850000001</v>
      </c>
      <c r="J28" s="63">
        <f t="shared" ref="J28:M28" si="5">J24+J26</f>
        <v>39622876.314750001</v>
      </c>
      <c r="K28" s="63">
        <f t="shared" si="5"/>
        <v>53634941.864291251</v>
      </c>
      <c r="L28" s="63">
        <f t="shared" si="5"/>
        <v>80571880.673112303</v>
      </c>
      <c r="M28" s="63">
        <f t="shared" si="5"/>
        <v>78818367.529066786</v>
      </c>
    </row>
    <row r="29" spans="3:13" ht="15" thickTop="1" x14ac:dyDescent="0.35">
      <c r="H29" s="58"/>
      <c r="I29" s="58"/>
      <c r="J29" s="58"/>
      <c r="K29" s="58"/>
      <c r="L29" s="58"/>
      <c r="M29" s="58"/>
    </row>
    <row r="30" spans="3:13" x14ac:dyDescent="0.35">
      <c r="C30" s="12" t="s">
        <v>182</v>
      </c>
      <c r="H30" s="58"/>
      <c r="I30" s="62">
        <f>-workings!J125</f>
        <v>-3687108.5700000003</v>
      </c>
      <c r="J30" s="62">
        <f>-workings!K125</f>
        <v>-7924575.2629500004</v>
      </c>
      <c r="K30" s="62">
        <f>-workings!L125</f>
        <v>-10726988.372858251</v>
      </c>
      <c r="L30" s="62">
        <f>-workings!M125</f>
        <v>-16114376.134622462</v>
      </c>
      <c r="M30" s="62">
        <f>-workings!N125</f>
        <v>-15763673.505813358</v>
      </c>
    </row>
    <row r="31" spans="3:13" x14ac:dyDescent="0.35">
      <c r="H31" s="58"/>
      <c r="I31" s="65"/>
      <c r="J31" s="65"/>
      <c r="K31" s="65"/>
      <c r="L31" s="65"/>
      <c r="M31" s="65"/>
    </row>
    <row r="32" spans="3:13" x14ac:dyDescent="0.35">
      <c r="C32" s="12" t="s">
        <v>184</v>
      </c>
      <c r="H32" s="58"/>
      <c r="I32" s="66">
        <f>I28+I30</f>
        <v>14748434.280000001</v>
      </c>
      <c r="J32" s="66">
        <f t="shared" ref="J32:M32" si="6">J28+J30</f>
        <v>31698301.051800001</v>
      </c>
      <c r="K32" s="66">
        <f t="shared" si="6"/>
        <v>42907953.491433002</v>
      </c>
      <c r="L32" s="66">
        <f t="shared" si="6"/>
        <v>64457504.538489841</v>
      </c>
      <c r="M32" s="66">
        <f t="shared" si="6"/>
        <v>63054694.023253426</v>
      </c>
    </row>
    <row r="33" spans="3:13" ht="15" thickBot="1" x14ac:dyDescent="0.4">
      <c r="C33" s="12" t="s">
        <v>185</v>
      </c>
      <c r="H33" s="58"/>
      <c r="I33" s="64">
        <f>H33+I32</f>
        <v>14748434.280000001</v>
      </c>
      <c r="J33" s="64">
        <f t="shared" ref="J33:M33" si="7">I33+J32</f>
        <v>46446735.331799999</v>
      </c>
      <c r="K33" s="64">
        <f>J33+K32</f>
        <v>89354688.823233008</v>
      </c>
      <c r="L33" s="64">
        <f t="shared" si="7"/>
        <v>153812193.36172286</v>
      </c>
      <c r="M33" s="64">
        <f t="shared" si="7"/>
        <v>216866887.38497627</v>
      </c>
    </row>
    <row r="34" spans="3:13" ht="15" thickTop="1" x14ac:dyDescent="0.35">
      <c r="H34" s="58"/>
      <c r="I34" s="58"/>
      <c r="J34" s="58"/>
      <c r="K34" s="58"/>
      <c r="L34" s="58"/>
      <c r="M34" s="58"/>
    </row>
    <row r="35" spans="3:13" x14ac:dyDescent="0.35">
      <c r="H35" s="58"/>
      <c r="I35" s="58"/>
      <c r="J35" s="58"/>
      <c r="K35" s="58"/>
      <c r="L35" s="58"/>
      <c r="M35" s="58"/>
    </row>
    <row r="36" spans="3:13" x14ac:dyDescent="0.35">
      <c r="H36" s="58"/>
      <c r="I36" s="58"/>
      <c r="J36" s="58"/>
      <c r="K36" s="58"/>
      <c r="L36" s="58"/>
      <c r="M36" s="58"/>
    </row>
    <row r="37" spans="3:13" x14ac:dyDescent="0.35">
      <c r="H37" s="58"/>
      <c r="I37" s="58"/>
      <c r="J37" s="58"/>
      <c r="K37" s="58"/>
      <c r="L37" s="58"/>
      <c r="M37" s="58"/>
    </row>
    <row r="38" spans="3:13" x14ac:dyDescent="0.35">
      <c r="H38" s="58"/>
      <c r="I38" s="58"/>
      <c r="J38" s="58"/>
      <c r="K38" s="58"/>
      <c r="L38" s="58"/>
      <c r="M38" s="58"/>
    </row>
    <row r="39" spans="3:13" x14ac:dyDescent="0.35">
      <c r="H39" s="58"/>
      <c r="I39" s="58"/>
      <c r="J39" s="58"/>
      <c r="K39" s="58"/>
      <c r="L39" s="58"/>
      <c r="M39" s="58"/>
    </row>
    <row r="40" spans="3:13" x14ac:dyDescent="0.35">
      <c r="H40" s="58"/>
      <c r="I40" s="58"/>
      <c r="J40" s="58"/>
      <c r="K40" s="58"/>
      <c r="L40" s="58"/>
      <c r="M40" s="58"/>
    </row>
    <row r="41" spans="3:13" x14ac:dyDescent="0.35">
      <c r="H41" s="58"/>
      <c r="I41" s="58"/>
      <c r="J41" s="58"/>
      <c r="K41" s="58"/>
      <c r="L41" s="58"/>
      <c r="M41" s="58"/>
    </row>
    <row r="42" spans="3:13" x14ac:dyDescent="0.35">
      <c r="H42" s="58"/>
      <c r="I42" s="58"/>
      <c r="J42" s="58"/>
      <c r="K42" s="58"/>
      <c r="L42" s="58"/>
      <c r="M42" s="58"/>
    </row>
    <row r="43" spans="3:13" x14ac:dyDescent="0.35">
      <c r="H43" s="58"/>
      <c r="I43" s="58"/>
      <c r="J43" s="58"/>
      <c r="K43" s="58"/>
      <c r="L43" s="58"/>
      <c r="M43" s="58"/>
    </row>
    <row r="44" spans="3:13" x14ac:dyDescent="0.35">
      <c r="H44" s="58"/>
      <c r="I44" s="58"/>
      <c r="J44" s="58"/>
      <c r="K44" s="58"/>
      <c r="L44" s="58"/>
      <c r="M44" s="58"/>
    </row>
    <row r="45" spans="3:13" x14ac:dyDescent="0.35">
      <c r="H45" s="58"/>
      <c r="I45" s="58"/>
      <c r="J45" s="58"/>
      <c r="K45" s="58"/>
      <c r="L45" s="58"/>
      <c r="M45" s="58"/>
    </row>
    <row r="46" spans="3:13" x14ac:dyDescent="0.35">
      <c r="H46" s="58"/>
      <c r="I46" s="58"/>
      <c r="J46" s="58"/>
      <c r="K46" s="58"/>
      <c r="L46" s="58"/>
      <c r="M46" s="58"/>
    </row>
    <row r="47" spans="3:13" x14ac:dyDescent="0.35">
      <c r="H47" s="58"/>
      <c r="I47" s="58"/>
      <c r="J47" s="58"/>
      <c r="K47" s="58"/>
      <c r="L47" s="58"/>
      <c r="M47" s="58"/>
    </row>
    <row r="48" spans="3:13" x14ac:dyDescent="0.35">
      <c r="H48" s="58"/>
      <c r="I48" s="58"/>
      <c r="J48" s="58"/>
      <c r="K48" s="58"/>
      <c r="L48" s="58"/>
      <c r="M48" s="58"/>
    </row>
    <row r="49" spans="8:13" x14ac:dyDescent="0.35">
      <c r="H49" s="58"/>
      <c r="I49" s="58"/>
      <c r="J49" s="58"/>
      <c r="K49" s="58"/>
      <c r="L49" s="58"/>
      <c r="M49" s="58"/>
    </row>
    <row r="50" spans="8:13" x14ac:dyDescent="0.35">
      <c r="H50" s="58"/>
      <c r="I50" s="58"/>
      <c r="J50" s="58"/>
      <c r="K50" s="58"/>
      <c r="L50" s="58"/>
      <c r="M50" s="58"/>
    </row>
    <row r="51" spans="8:13" x14ac:dyDescent="0.35">
      <c r="H51" s="58"/>
      <c r="I51" s="58"/>
      <c r="J51" s="58"/>
      <c r="K51" s="58"/>
      <c r="L51" s="58"/>
      <c r="M51" s="58"/>
    </row>
    <row r="52" spans="8:13" x14ac:dyDescent="0.35">
      <c r="H52" s="58"/>
      <c r="I52" s="58"/>
      <c r="J52" s="58"/>
      <c r="K52" s="58"/>
      <c r="L52" s="58"/>
      <c r="M52" s="58"/>
    </row>
    <row r="53" spans="8:13" x14ac:dyDescent="0.35">
      <c r="H53" s="58"/>
      <c r="I53" s="58"/>
      <c r="J53" s="58"/>
      <c r="K53" s="58"/>
      <c r="L53" s="58"/>
      <c r="M53" s="58"/>
    </row>
    <row r="54" spans="8:13" x14ac:dyDescent="0.35">
      <c r="H54" s="58"/>
      <c r="I54" s="58"/>
      <c r="J54" s="58"/>
      <c r="K54" s="58"/>
      <c r="L54" s="58"/>
      <c r="M54" s="58"/>
    </row>
    <row r="55" spans="8:13" x14ac:dyDescent="0.35">
      <c r="H55" s="58"/>
      <c r="I55" s="58"/>
      <c r="J55" s="58"/>
      <c r="K55" s="58"/>
      <c r="L55" s="58"/>
      <c r="M55" s="58"/>
    </row>
    <row r="56" spans="8:13" x14ac:dyDescent="0.35">
      <c r="H56" s="58"/>
      <c r="I56" s="58"/>
      <c r="J56" s="58"/>
      <c r="K56" s="58"/>
      <c r="L56" s="58"/>
      <c r="M56" s="58"/>
    </row>
    <row r="57" spans="8:13" x14ac:dyDescent="0.35">
      <c r="H57" s="58"/>
      <c r="I57" s="58"/>
      <c r="J57" s="58"/>
      <c r="K57" s="58"/>
      <c r="L57" s="58"/>
      <c r="M57" s="58"/>
    </row>
    <row r="58" spans="8:13" x14ac:dyDescent="0.35">
      <c r="H58" s="58"/>
      <c r="I58" s="58"/>
      <c r="J58" s="58"/>
      <c r="K58" s="58"/>
      <c r="L58" s="58"/>
      <c r="M58" s="58"/>
    </row>
    <row r="59" spans="8:13" x14ac:dyDescent="0.35">
      <c r="H59" s="58"/>
      <c r="I59" s="58"/>
      <c r="J59" s="58"/>
      <c r="K59" s="58"/>
      <c r="L59" s="58"/>
      <c r="M59" s="58"/>
    </row>
    <row r="60" spans="8:13" x14ac:dyDescent="0.35">
      <c r="H60" s="58"/>
      <c r="I60" s="58"/>
      <c r="J60" s="58"/>
      <c r="K60" s="58"/>
      <c r="L60" s="58"/>
      <c r="M60" s="58"/>
    </row>
    <row r="61" spans="8:13" x14ac:dyDescent="0.35">
      <c r="H61" s="58"/>
      <c r="I61" s="58"/>
      <c r="J61" s="58"/>
      <c r="K61" s="58"/>
      <c r="L61" s="58"/>
      <c r="M61" s="58"/>
    </row>
    <row r="62" spans="8:13" x14ac:dyDescent="0.35">
      <c r="H62" s="58"/>
      <c r="I62" s="58"/>
      <c r="J62" s="58"/>
      <c r="K62" s="58"/>
      <c r="L62" s="58"/>
      <c r="M62" s="58"/>
    </row>
    <row r="63" spans="8:13" x14ac:dyDescent="0.35">
      <c r="H63" s="58"/>
      <c r="I63" s="58"/>
      <c r="J63" s="58"/>
      <c r="K63" s="58"/>
      <c r="L63" s="58"/>
      <c r="M63" s="58"/>
    </row>
    <row r="64" spans="8:13" x14ac:dyDescent="0.35">
      <c r="H64" s="58"/>
      <c r="I64" s="58"/>
      <c r="J64" s="58"/>
      <c r="K64" s="58"/>
      <c r="L64" s="58"/>
      <c r="M64" s="58"/>
    </row>
    <row r="65" spans="8:13" x14ac:dyDescent="0.35">
      <c r="H65" s="58"/>
      <c r="I65" s="58"/>
      <c r="J65" s="58"/>
      <c r="K65" s="58"/>
      <c r="L65" s="58"/>
      <c r="M65" s="58"/>
    </row>
    <row r="66" spans="8:13" x14ac:dyDescent="0.35">
      <c r="H66" s="58"/>
      <c r="I66" s="58"/>
      <c r="J66" s="58"/>
      <c r="K66" s="58"/>
      <c r="L66" s="58"/>
      <c r="M66" s="58"/>
    </row>
    <row r="67" spans="8:13" x14ac:dyDescent="0.35">
      <c r="H67" s="58"/>
      <c r="I67" s="58"/>
      <c r="J67" s="58"/>
      <c r="K67" s="58"/>
      <c r="L67" s="58"/>
      <c r="M67" s="58"/>
    </row>
    <row r="68" spans="8:13" x14ac:dyDescent="0.35">
      <c r="H68" s="58"/>
      <c r="I68" s="58"/>
      <c r="J68" s="58"/>
      <c r="K68" s="58"/>
      <c r="L68" s="58"/>
      <c r="M68" s="58"/>
    </row>
    <row r="69" spans="8:13" x14ac:dyDescent="0.35">
      <c r="H69" s="58"/>
      <c r="I69" s="58"/>
      <c r="J69" s="58"/>
      <c r="K69" s="58"/>
      <c r="L69" s="58"/>
      <c r="M69" s="58"/>
    </row>
    <row r="70" spans="8:13" x14ac:dyDescent="0.35">
      <c r="H70" s="58"/>
      <c r="I70" s="58"/>
      <c r="J70" s="58"/>
      <c r="K70" s="58"/>
      <c r="L70" s="58"/>
      <c r="M70" s="58"/>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2</xdr:col>
                    <xdr:colOff>812800</xdr:colOff>
                    <xdr:row>0</xdr:row>
                    <xdr:rowOff>158750</xdr:rowOff>
                  </from>
                  <to>
                    <xdr:col>4</xdr:col>
                    <xdr:colOff>520700</xdr:colOff>
                    <xdr:row>2</xdr:row>
                    <xdr:rowOff>44450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A1A9-58D8-4E20-9DAE-988D01C52659}">
  <dimension ref="C1:M46"/>
  <sheetViews>
    <sheetView showGridLines="0" workbookViewId="0">
      <selection activeCell="M2" sqref="M2"/>
    </sheetView>
  </sheetViews>
  <sheetFormatPr defaultRowHeight="14.5" x14ac:dyDescent="0.35"/>
  <cols>
    <col min="9" max="9" width="14.81640625" bestFit="1" customWidth="1"/>
    <col min="10" max="10" width="12.453125" customWidth="1"/>
    <col min="11" max="11" width="12.36328125" customWidth="1"/>
    <col min="12" max="12" width="12.7265625" customWidth="1"/>
    <col min="13" max="13" width="15.6328125" customWidth="1"/>
  </cols>
  <sheetData>
    <row r="1" spans="3:13" x14ac:dyDescent="0.35">
      <c r="C1" t="s">
        <v>43</v>
      </c>
      <c r="G1" t="s">
        <v>0</v>
      </c>
      <c r="L1" t="s">
        <v>44</v>
      </c>
      <c r="M1" s="107">
        <f ca="1">TODAY()</f>
        <v>45710</v>
      </c>
    </row>
    <row r="3" spans="3:13" ht="28.5" x14ac:dyDescent="0.65">
      <c r="C3" s="69"/>
      <c r="D3" s="69"/>
      <c r="E3" s="69"/>
      <c r="F3" s="69"/>
      <c r="G3" s="69" t="s">
        <v>15</v>
      </c>
      <c r="H3" s="69"/>
      <c r="I3" s="69"/>
      <c r="J3" s="69"/>
      <c r="K3" s="69"/>
      <c r="L3" s="69"/>
      <c r="M3" s="69"/>
    </row>
    <row r="4" spans="3:13" ht="28.5" x14ac:dyDescent="0.65">
      <c r="C4" s="69"/>
      <c r="D4" s="69"/>
      <c r="E4" s="69"/>
      <c r="F4" s="69"/>
      <c r="G4" s="69"/>
      <c r="H4" s="69"/>
      <c r="I4" s="69"/>
      <c r="J4" s="69"/>
      <c r="K4" s="69"/>
      <c r="L4" s="69"/>
      <c r="M4" s="69"/>
    </row>
    <row r="6" spans="3:13" ht="15" thickBot="1" x14ac:dyDescent="0.4">
      <c r="H6" s="57">
        <v>2023</v>
      </c>
      <c r="I6" s="57">
        <f>H6+1</f>
        <v>2024</v>
      </c>
      <c r="J6" s="57">
        <f t="shared" ref="J6:M6" si="0">I6+1</f>
        <v>2025</v>
      </c>
      <c r="K6" s="57">
        <f t="shared" si="0"/>
        <v>2026</v>
      </c>
      <c r="L6" s="57">
        <f t="shared" si="0"/>
        <v>2027</v>
      </c>
      <c r="M6" s="57">
        <f t="shared" si="0"/>
        <v>2028</v>
      </c>
    </row>
    <row r="7" spans="3:13" ht="15" thickTop="1" x14ac:dyDescent="0.35"/>
    <row r="8" spans="3:13" x14ac:dyDescent="0.35">
      <c r="C8" s="12" t="s">
        <v>186</v>
      </c>
    </row>
    <row r="9" spans="3:13" x14ac:dyDescent="0.35">
      <c r="D9" s="12" t="s">
        <v>187</v>
      </c>
    </row>
    <row r="10" spans="3:13" x14ac:dyDescent="0.35">
      <c r="D10" s="12" t="s">
        <v>188</v>
      </c>
    </row>
    <row r="11" spans="3:13" x14ac:dyDescent="0.35">
      <c r="E11" t="s">
        <v>135</v>
      </c>
      <c r="I11" s="56">
        <f>workings!J80</f>
        <v>93000000</v>
      </c>
      <c r="J11" s="56">
        <f>workings!K80</f>
        <v>93000000</v>
      </c>
      <c r="K11" s="56">
        <f>workings!L80</f>
        <v>117000000</v>
      </c>
      <c r="L11" s="56">
        <f>workings!M80</f>
        <v>133000000</v>
      </c>
      <c r="M11" s="56">
        <f>workings!N80</f>
        <v>140000000</v>
      </c>
    </row>
    <row r="12" spans="3:13" ht="15" thickBot="1" x14ac:dyDescent="0.4">
      <c r="E12" t="s">
        <v>133</v>
      </c>
      <c r="I12" s="54">
        <f>workings!J81</f>
        <v>-15716666.666666666</v>
      </c>
      <c r="J12" s="54">
        <f>workings!K81</f>
        <v>-31433333.333333332</v>
      </c>
      <c r="K12" s="54">
        <f>workings!L81</f>
        <v>-52150000</v>
      </c>
      <c r="L12" s="54">
        <f>workings!M81</f>
        <v>-76066666.666666672</v>
      </c>
      <c r="M12" s="54">
        <f>workings!N81</f>
        <v>-97483333.333333328</v>
      </c>
    </row>
    <row r="13" spans="3:13" ht="15.5" thickTop="1" thickBot="1" x14ac:dyDescent="0.4">
      <c r="E13" t="s">
        <v>189</v>
      </c>
      <c r="I13" s="34">
        <f>I11+I12</f>
        <v>77283333.333333328</v>
      </c>
      <c r="J13" s="34">
        <f t="shared" ref="J13:M13" si="1">J11+J12</f>
        <v>61566666.666666672</v>
      </c>
      <c r="K13" s="34">
        <f t="shared" si="1"/>
        <v>64850000</v>
      </c>
      <c r="L13" s="34">
        <f t="shared" si="1"/>
        <v>56933333.333333328</v>
      </c>
      <c r="M13" s="34">
        <f t="shared" si="1"/>
        <v>42516666.666666672</v>
      </c>
    </row>
    <row r="14" spans="3:13" ht="15" thickTop="1" x14ac:dyDescent="0.35"/>
    <row r="15" spans="3:13" x14ac:dyDescent="0.35">
      <c r="D15" s="12" t="s">
        <v>190</v>
      </c>
    </row>
    <row r="16" spans="3:13" x14ac:dyDescent="0.35">
      <c r="E16" t="s">
        <v>61</v>
      </c>
      <c r="I16" s="33">
        <f>workings!J29</f>
        <v>47016000</v>
      </c>
      <c r="J16" s="33">
        <f>workings!K29</f>
        <v>51370560</v>
      </c>
      <c r="K16" s="33">
        <f>workings!L29</f>
        <v>56047680</v>
      </c>
      <c r="L16" s="33">
        <f>workings!M29</f>
        <v>63799200</v>
      </c>
      <c r="M16" s="33">
        <f>workings!N29</f>
        <v>71013600</v>
      </c>
    </row>
    <row r="17" spans="3:13" x14ac:dyDescent="0.35">
      <c r="E17" t="s">
        <v>191</v>
      </c>
      <c r="I17" s="33">
        <f>workings!J109</f>
        <v>6336000</v>
      </c>
      <c r="J17" s="33">
        <f>workings!K109</f>
        <v>7061760</v>
      </c>
      <c r="K17" s="33">
        <f>workings!L109</f>
        <v>7841280</v>
      </c>
      <c r="L17" s="33">
        <f>workings!M109</f>
        <v>9133200</v>
      </c>
      <c r="M17" s="33">
        <f>workings!N109</f>
        <v>10335600</v>
      </c>
    </row>
    <row r="18" spans="3:13" ht="15" thickBot="1" x14ac:dyDescent="0.4">
      <c r="E18" t="s">
        <v>192</v>
      </c>
      <c r="I18" s="54">
        <f>Cashflows!I40</f>
        <v>110900315.33333334</v>
      </c>
      <c r="J18" s="54">
        <f>Cashflows!J40</f>
        <v>168054762.45000002</v>
      </c>
      <c r="K18" s="54">
        <f>Cashflows!K40</f>
        <v>212180953.79741669</v>
      </c>
      <c r="L18" s="54">
        <f>Cashflows!L40</f>
        <v>294546967.9685846</v>
      </c>
      <c r="M18" s="54">
        <f>Cashflows!M40</f>
        <v>363037801.92330331</v>
      </c>
    </row>
    <row r="19" spans="3:13" ht="15.5" thickTop="1" thickBot="1" x14ac:dyDescent="0.4">
      <c r="D19" s="12" t="s">
        <v>193</v>
      </c>
      <c r="I19" s="34">
        <f>SUM(I16:I18)</f>
        <v>164252315.33333334</v>
      </c>
      <c r="J19" s="34">
        <f t="shared" ref="J19:M19" si="2">SUM(J16:J18)</f>
        <v>226487082.45000002</v>
      </c>
      <c r="K19" s="34">
        <f t="shared" si="2"/>
        <v>276069913.79741669</v>
      </c>
      <c r="L19" s="34">
        <f t="shared" si="2"/>
        <v>367479367.9685846</v>
      </c>
      <c r="M19" s="34">
        <f t="shared" si="2"/>
        <v>444387001.92330331</v>
      </c>
    </row>
    <row r="20" spans="3:13" ht="15.5" thickTop="1" thickBot="1" x14ac:dyDescent="0.4"/>
    <row r="21" spans="3:13" ht="15.5" thickTop="1" thickBot="1" x14ac:dyDescent="0.4">
      <c r="D21" s="12" t="s">
        <v>194</v>
      </c>
      <c r="I21" s="71">
        <f>I13+I19</f>
        <v>241535648.66666669</v>
      </c>
      <c r="J21" s="71">
        <f t="shared" ref="J21:M21" si="3">J13+J19</f>
        <v>288053749.11666667</v>
      </c>
      <c r="K21" s="71">
        <f t="shared" si="3"/>
        <v>340919913.79741669</v>
      </c>
      <c r="L21" s="71">
        <f t="shared" si="3"/>
        <v>424412701.30191791</v>
      </c>
      <c r="M21" s="71">
        <f t="shared" si="3"/>
        <v>486903668.58996999</v>
      </c>
    </row>
    <row r="22" spans="3:13" ht="15" thickTop="1" x14ac:dyDescent="0.35"/>
    <row r="23" spans="3:13" x14ac:dyDescent="0.35">
      <c r="C23" s="12" t="s">
        <v>148</v>
      </c>
    </row>
    <row r="24" spans="3:13" x14ac:dyDescent="0.35">
      <c r="E24" t="s">
        <v>195</v>
      </c>
      <c r="I24" s="33">
        <f>workings!$J$93</f>
        <v>147628133.33333334</v>
      </c>
      <c r="J24" s="33">
        <f>workings!$J$93</f>
        <v>147628133.33333334</v>
      </c>
      <c r="K24" s="33">
        <f>workings!$J$93</f>
        <v>147628133.33333334</v>
      </c>
      <c r="L24" s="33">
        <f>workings!$J$93</f>
        <v>147628133.33333334</v>
      </c>
      <c r="M24" s="33">
        <f>workings!$J$93</f>
        <v>147628133.33333334</v>
      </c>
    </row>
    <row r="25" spans="3:13" ht="15" thickBot="1" x14ac:dyDescent="0.4">
      <c r="E25" t="s">
        <v>185</v>
      </c>
      <c r="I25" s="74">
        <f>'Income Statement'!I33</f>
        <v>14748434.280000001</v>
      </c>
      <c r="J25" s="74">
        <f>'Income Statement'!J33</f>
        <v>46446735.331799999</v>
      </c>
      <c r="K25" s="74">
        <f>'Income Statement'!K33</f>
        <v>89354688.823233008</v>
      </c>
      <c r="L25" s="74">
        <f>'Income Statement'!L33</f>
        <v>153812193.36172286</v>
      </c>
      <c r="M25" s="74">
        <f>'Income Statement'!M33</f>
        <v>216866887.38497627</v>
      </c>
    </row>
    <row r="26" spans="3:13" ht="15.5" thickTop="1" thickBot="1" x14ac:dyDescent="0.4">
      <c r="D26" s="12" t="s">
        <v>20</v>
      </c>
      <c r="I26" s="34">
        <f>I24+I25</f>
        <v>162376567.61333334</v>
      </c>
      <c r="J26" s="34">
        <f t="shared" ref="J26:M26" si="4">J24+J25</f>
        <v>194074868.66513336</v>
      </c>
      <c r="K26" s="34">
        <f t="shared" si="4"/>
        <v>236982822.15656635</v>
      </c>
      <c r="L26" s="34">
        <f t="shared" si="4"/>
        <v>301440326.6950562</v>
      </c>
      <c r="M26" s="34">
        <f t="shared" si="4"/>
        <v>364495020.71830964</v>
      </c>
    </row>
    <row r="27" spans="3:13" ht="15" thickTop="1" x14ac:dyDescent="0.35"/>
    <row r="28" spans="3:13" x14ac:dyDescent="0.35">
      <c r="C28" s="12" t="s">
        <v>196</v>
      </c>
    </row>
    <row r="29" spans="3:13" x14ac:dyDescent="0.35">
      <c r="D29" s="12" t="s">
        <v>197</v>
      </c>
    </row>
    <row r="30" spans="3:13" x14ac:dyDescent="0.35">
      <c r="E30" t="s">
        <v>198</v>
      </c>
      <c r="I30" s="33">
        <f>workings!J104</f>
        <v>59156702</v>
      </c>
      <c r="J30" s="33">
        <f>workings!K104</f>
        <v>55311516.370000005</v>
      </c>
      <c r="K30" s="33">
        <f>workings!L104</f>
        <v>51716267.805950008</v>
      </c>
      <c r="L30" s="33">
        <f>workings!M104</f>
        <v>48354710.398563251</v>
      </c>
      <c r="M30" s="33">
        <f>workings!N104</f>
        <v>0</v>
      </c>
    </row>
    <row r="31" spans="3:13" ht="15" thickBot="1" x14ac:dyDescent="0.4">
      <c r="I31" s="73"/>
      <c r="J31" s="73"/>
      <c r="K31" s="73"/>
      <c r="L31" s="73"/>
      <c r="M31" s="73"/>
    </row>
    <row r="32" spans="3:13" ht="15.5" thickTop="1" thickBot="1" x14ac:dyDescent="0.4">
      <c r="D32" s="12" t="s">
        <v>199</v>
      </c>
      <c r="I32" s="34">
        <f>I30</f>
        <v>59156702</v>
      </c>
      <c r="J32" s="34">
        <f t="shared" ref="J32:M32" si="5">J30</f>
        <v>55311516.370000005</v>
      </c>
      <c r="K32" s="34">
        <f t="shared" si="5"/>
        <v>51716267.805950008</v>
      </c>
      <c r="L32" s="34">
        <f t="shared" si="5"/>
        <v>48354710.398563251</v>
      </c>
      <c r="M32" s="34">
        <f t="shared" si="5"/>
        <v>0</v>
      </c>
    </row>
    <row r="33" spans="3:13" ht="15" thickTop="1" x14ac:dyDescent="0.35"/>
    <row r="34" spans="3:13" x14ac:dyDescent="0.35">
      <c r="D34" s="12" t="s">
        <v>22</v>
      </c>
    </row>
    <row r="35" spans="3:13" x14ac:dyDescent="0.35">
      <c r="E35" t="s">
        <v>198</v>
      </c>
      <c r="I35" s="33">
        <f>workings!J105</f>
        <v>4112498</v>
      </c>
      <c r="J35" s="33">
        <f>workings!K105</f>
        <v>7957683.6299999952</v>
      </c>
      <c r="K35" s="33">
        <f>workings!L105</f>
        <v>11552932.194049992</v>
      </c>
      <c r="L35" s="33">
        <f>workings!M105</f>
        <v>14914489.601436749</v>
      </c>
      <c r="M35" s="33">
        <f>workings!N105</f>
        <v>63269200</v>
      </c>
    </row>
    <row r="36" spans="3:13" x14ac:dyDescent="0.35">
      <c r="E36" t="s">
        <v>200</v>
      </c>
      <c r="I36" s="33">
        <f>workings!J113</f>
        <v>3326399.9999999995</v>
      </c>
      <c r="J36" s="33">
        <f>workings!K113</f>
        <v>3707424</v>
      </c>
      <c r="K36" s="33">
        <f>workings!L113</f>
        <v>4116672</v>
      </c>
      <c r="L36" s="33">
        <f>workings!M113</f>
        <v>4794930</v>
      </c>
      <c r="M36" s="33">
        <f>workings!N113</f>
        <v>5426190</v>
      </c>
    </row>
    <row r="37" spans="3:13" x14ac:dyDescent="0.35">
      <c r="E37" t="s">
        <v>201</v>
      </c>
      <c r="I37" s="33">
        <f>workings!J119</f>
        <v>8876372.4833333343</v>
      </c>
      <c r="J37" s="33">
        <f>workings!K119</f>
        <v>19077681.188583333</v>
      </c>
      <c r="K37" s="33">
        <f>workings!L119</f>
        <v>25824231.267992083</v>
      </c>
      <c r="L37" s="33">
        <f>workings!M119</f>
        <v>38793868.472239263</v>
      </c>
      <c r="M37" s="33">
        <f>workings!N119</f>
        <v>37949584.365846977</v>
      </c>
    </row>
    <row r="38" spans="3:13" ht="15" thickBot="1" x14ac:dyDescent="0.4">
      <c r="E38" t="s">
        <v>202</v>
      </c>
      <c r="I38" s="54">
        <f>workings!J125</f>
        <v>3687108.5700000003</v>
      </c>
      <c r="J38" s="54">
        <f>workings!K125</f>
        <v>7924575.2629500004</v>
      </c>
      <c r="K38" s="54">
        <f>workings!L125</f>
        <v>10726988.372858251</v>
      </c>
      <c r="L38" s="54">
        <f>workings!M125</f>
        <v>16114376.134622462</v>
      </c>
      <c r="M38" s="54">
        <f>workings!N125</f>
        <v>15763673.505813358</v>
      </c>
    </row>
    <row r="39" spans="3:13" ht="15.5" thickTop="1" thickBot="1" x14ac:dyDescent="0.4">
      <c r="D39" s="12" t="s">
        <v>203</v>
      </c>
      <c r="I39" s="34">
        <f>SUM(I35:I38)</f>
        <v>20002379.053333335</v>
      </c>
      <c r="J39" s="34">
        <f t="shared" ref="J39:M39" si="6">SUM(J35:J38)</f>
        <v>38667364.081533328</v>
      </c>
      <c r="K39" s="34">
        <f t="shared" si="6"/>
        <v>52220823.834900327</v>
      </c>
      <c r="L39" s="34">
        <f t="shared" si="6"/>
        <v>74617664.208298475</v>
      </c>
      <c r="M39" s="34">
        <f t="shared" si="6"/>
        <v>122408647.87166034</v>
      </c>
    </row>
    <row r="40" spans="3:13" ht="15.5" thickTop="1" thickBot="1" x14ac:dyDescent="0.4"/>
    <row r="41" spans="3:13" ht="15.5" thickTop="1" thickBot="1" x14ac:dyDescent="0.4">
      <c r="D41" s="12" t="s">
        <v>205</v>
      </c>
      <c r="I41" s="34">
        <f>I32+I39</f>
        <v>79159081.053333342</v>
      </c>
      <c r="J41" s="34">
        <f t="shared" ref="J41:M41" si="7">J32+J39</f>
        <v>93978880.451533332</v>
      </c>
      <c r="K41" s="34">
        <f t="shared" si="7"/>
        <v>103937091.64085034</v>
      </c>
      <c r="L41" s="34">
        <f t="shared" si="7"/>
        <v>122972374.60686173</v>
      </c>
      <c r="M41" s="34">
        <f t="shared" si="7"/>
        <v>122408647.87166034</v>
      </c>
    </row>
    <row r="42" spans="3:13" ht="15" thickTop="1" x14ac:dyDescent="0.35"/>
    <row r="43" spans="3:13" x14ac:dyDescent="0.35">
      <c r="C43" s="12" t="s">
        <v>204</v>
      </c>
      <c r="I43" s="72">
        <f>I26+I41</f>
        <v>241535648.66666669</v>
      </c>
      <c r="J43" s="72">
        <f t="shared" ref="J43:M43" si="8">J26+J41</f>
        <v>288053749.11666667</v>
      </c>
      <c r="K43" s="72">
        <f t="shared" si="8"/>
        <v>340919913.79741669</v>
      </c>
      <c r="L43" s="72">
        <f t="shared" si="8"/>
        <v>424412701.30191791</v>
      </c>
      <c r="M43" s="72">
        <f t="shared" si="8"/>
        <v>486903668.58996999</v>
      </c>
    </row>
    <row r="46" spans="3:13" x14ac:dyDescent="0.35">
      <c r="I46" t="b">
        <f>I43=I21</f>
        <v>1</v>
      </c>
      <c r="J46" t="b">
        <f t="shared" ref="J46:M46" si="9">J43=J21</f>
        <v>1</v>
      </c>
      <c r="K46" t="b">
        <f t="shared" si="9"/>
        <v>1</v>
      </c>
      <c r="L46" t="b">
        <f t="shared" si="9"/>
        <v>1</v>
      </c>
      <c r="M46" t="b">
        <f t="shared" si="9"/>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2</xdr:col>
                    <xdr:colOff>571500</xdr:colOff>
                    <xdr:row>0</xdr:row>
                    <xdr:rowOff>25400</xdr:rowOff>
                  </from>
                  <to>
                    <xdr:col>4</xdr:col>
                    <xdr:colOff>565150</xdr:colOff>
                    <xdr:row>1</xdr:row>
                    <xdr:rowOff>95250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25E26-0799-46EC-882C-7E809DEF8EA0}">
  <dimension ref="C1:M75"/>
  <sheetViews>
    <sheetView showGridLines="0" workbookViewId="0">
      <selection activeCell="M2" sqref="M2"/>
    </sheetView>
  </sheetViews>
  <sheetFormatPr defaultRowHeight="14.5" x14ac:dyDescent="0.35"/>
  <cols>
    <col min="9" max="9" width="12.1796875" bestFit="1" customWidth="1"/>
    <col min="10" max="10" width="12.08984375" customWidth="1"/>
    <col min="11" max="11" width="13.08984375" customWidth="1"/>
    <col min="12" max="12" width="13.26953125" customWidth="1"/>
    <col min="13" max="13" width="14.26953125" customWidth="1"/>
  </cols>
  <sheetData>
    <row r="1" spans="3:13" x14ac:dyDescent="0.35">
      <c r="C1" t="s">
        <v>43</v>
      </c>
      <c r="G1" t="s">
        <v>0</v>
      </c>
      <c r="L1" t="s">
        <v>44</v>
      </c>
      <c r="M1" s="107">
        <f ca="1">TODAY()</f>
        <v>45710</v>
      </c>
    </row>
    <row r="3" spans="3:13" ht="28.5" x14ac:dyDescent="0.65">
      <c r="C3" s="68" t="s">
        <v>24</v>
      </c>
      <c r="D3" s="15"/>
      <c r="E3" s="15"/>
      <c r="F3" s="15"/>
      <c r="G3" s="15"/>
      <c r="H3" s="15"/>
      <c r="I3" s="15"/>
      <c r="J3" s="15"/>
      <c r="K3" s="15"/>
      <c r="L3" s="15"/>
      <c r="M3" s="15"/>
    </row>
    <row r="4" spans="3:13" x14ac:dyDescent="0.35">
      <c r="C4" s="15"/>
      <c r="D4" s="15"/>
      <c r="E4" s="15"/>
      <c r="F4" s="15"/>
      <c r="G4" s="15"/>
      <c r="H4" s="15"/>
      <c r="I4" s="15"/>
      <c r="J4" s="15"/>
      <c r="K4" s="15"/>
      <c r="L4" s="15"/>
      <c r="M4" s="15"/>
    </row>
    <row r="6" spans="3:13" ht="15" thickBot="1" x14ac:dyDescent="0.4">
      <c r="H6" s="57">
        <v>2023</v>
      </c>
      <c r="I6" s="57">
        <f>H6+1</f>
        <v>2024</v>
      </c>
      <c r="J6" s="57">
        <f t="shared" ref="J6:M6" si="0">I6+1</f>
        <v>2025</v>
      </c>
      <c r="K6" s="57">
        <f t="shared" si="0"/>
        <v>2026</v>
      </c>
      <c r="L6" s="57">
        <f t="shared" si="0"/>
        <v>2027</v>
      </c>
      <c r="M6" s="57">
        <f t="shared" si="0"/>
        <v>2028</v>
      </c>
    </row>
    <row r="7" spans="3:13" ht="15" thickTop="1" x14ac:dyDescent="0.35">
      <c r="C7" s="12" t="s">
        <v>206</v>
      </c>
    </row>
    <row r="8" spans="3:13" x14ac:dyDescent="0.35">
      <c r="D8" s="12" t="s">
        <v>180</v>
      </c>
      <c r="I8" s="66">
        <f>'Income Statement'!I28</f>
        <v>18435542.850000001</v>
      </c>
      <c r="J8" s="66">
        <f>'Income Statement'!J28</f>
        <v>39622876.314750001</v>
      </c>
      <c r="K8" s="66">
        <f>'Income Statement'!K28</f>
        <v>53634941.864291251</v>
      </c>
      <c r="L8" s="66">
        <f>'Income Statement'!L28</f>
        <v>80571880.673112303</v>
      </c>
      <c r="M8" s="66">
        <f>'Income Statement'!M28</f>
        <v>78818367.529066786</v>
      </c>
    </row>
    <row r="9" spans="3:13" x14ac:dyDescent="0.35">
      <c r="D9" t="s">
        <v>207</v>
      </c>
      <c r="I9" s="33"/>
      <c r="J9" s="33"/>
      <c r="K9" s="33"/>
      <c r="L9" s="33"/>
      <c r="M9" s="33"/>
    </row>
    <row r="10" spans="3:13" x14ac:dyDescent="0.35">
      <c r="E10" t="s">
        <v>132</v>
      </c>
      <c r="I10" s="33">
        <f>-'Income Statement'!I18</f>
        <v>15716666.666666666</v>
      </c>
      <c r="J10" s="33">
        <f>-'Income Statement'!J18</f>
        <v>15716666.666666666</v>
      </c>
      <c r="K10" s="33">
        <f>-'Income Statement'!K18</f>
        <v>20716666.666666668</v>
      </c>
      <c r="L10" s="33">
        <f>-'Income Statement'!L18</f>
        <v>23916666.666666668</v>
      </c>
      <c r="M10" s="33">
        <f>-'Income Statement'!M18</f>
        <v>21416666.666666668</v>
      </c>
    </row>
    <row r="11" spans="3:13" x14ac:dyDescent="0.35">
      <c r="E11" t="s">
        <v>208</v>
      </c>
      <c r="I11" s="33">
        <f>-'Income Statement'!I22</f>
        <v>10439418</v>
      </c>
      <c r="J11" s="33">
        <f>-'Income Statement'!J22</f>
        <v>9760855.8300000001</v>
      </c>
      <c r="K11" s="33">
        <f>-'Income Statement'!K22</f>
        <v>9126400.2010500003</v>
      </c>
      <c r="L11" s="33">
        <f>-'Income Statement'!L22</f>
        <v>8533184.1879817508</v>
      </c>
      <c r="M11" s="33">
        <f>-'Income Statement'!M22</f>
        <v>53190181.438419573</v>
      </c>
    </row>
    <row r="12" spans="3:13" ht="15" thickBot="1" x14ac:dyDescent="0.4">
      <c r="E12" t="s">
        <v>209</v>
      </c>
      <c r="I12" s="54">
        <f>-'Income Statement'!I26</f>
        <v>8876372.4833333343</v>
      </c>
      <c r="J12" s="54">
        <f>-'Income Statement'!J26</f>
        <v>19077681.188583333</v>
      </c>
      <c r="K12" s="54">
        <f>-'Income Statement'!K26</f>
        <v>25824231.267992083</v>
      </c>
      <c r="L12" s="54">
        <f>-'Income Statement'!L26</f>
        <v>38793868.472239263</v>
      </c>
      <c r="M12" s="54">
        <f>-'Income Statement'!M26</f>
        <v>37949584.365846977</v>
      </c>
    </row>
    <row r="13" spans="3:13" ht="15" thickTop="1" x14ac:dyDescent="0.35">
      <c r="D13" s="12" t="s">
        <v>210</v>
      </c>
      <c r="I13" s="70">
        <f>SUM(I8:I12)</f>
        <v>53468000</v>
      </c>
      <c r="J13" s="70">
        <f t="shared" ref="J13:M13" si="1">SUM(J8:J12)</f>
        <v>84178080</v>
      </c>
      <c r="K13" s="70">
        <f t="shared" si="1"/>
        <v>109302240</v>
      </c>
      <c r="L13" s="70">
        <f t="shared" si="1"/>
        <v>151815600</v>
      </c>
      <c r="M13" s="70">
        <f t="shared" si="1"/>
        <v>191374800</v>
      </c>
    </row>
    <row r="14" spans="3:13" x14ac:dyDescent="0.35">
      <c r="D14" t="s">
        <v>213</v>
      </c>
      <c r="I14" s="27"/>
      <c r="J14" s="27"/>
      <c r="K14" s="27"/>
      <c r="L14" s="27"/>
      <c r="M14" s="27"/>
    </row>
    <row r="15" spans="3:13" x14ac:dyDescent="0.35">
      <c r="E15" t="s">
        <v>61</v>
      </c>
      <c r="I15" s="33">
        <f>'Balance sheet'!H16-'Balance sheet'!I16</f>
        <v>-47016000</v>
      </c>
      <c r="J15" s="33">
        <f>'Balance sheet'!I16-'Balance sheet'!J16</f>
        <v>-4354560</v>
      </c>
      <c r="K15" s="33">
        <f>'Balance sheet'!J16-'Balance sheet'!K16</f>
        <v>-4677120</v>
      </c>
      <c r="L15" s="33">
        <f>'Balance sheet'!K16-'Balance sheet'!L16</f>
        <v>-7751520</v>
      </c>
      <c r="M15" s="33">
        <f>'Balance sheet'!L16-'Balance sheet'!M16</f>
        <v>-7214400</v>
      </c>
    </row>
    <row r="16" spans="3:13" x14ac:dyDescent="0.35">
      <c r="E16" t="s">
        <v>191</v>
      </c>
      <c r="I16" s="33">
        <f>'Balance sheet'!H17-'Balance sheet'!I17</f>
        <v>-6336000</v>
      </c>
      <c r="J16" s="33">
        <f>'Balance sheet'!I17-'Balance sheet'!J17</f>
        <v>-725760</v>
      </c>
      <c r="K16" s="33">
        <f>'Balance sheet'!J17-'Balance sheet'!K17</f>
        <v>-779520</v>
      </c>
      <c r="L16" s="33">
        <f>'Balance sheet'!K17-'Balance sheet'!L17</f>
        <v>-1291920</v>
      </c>
      <c r="M16" s="33">
        <f>'Balance sheet'!L17-'Balance sheet'!M17</f>
        <v>-1202400</v>
      </c>
    </row>
    <row r="17" spans="3:13" ht="15" thickBot="1" x14ac:dyDescent="0.4">
      <c r="E17" t="s">
        <v>211</v>
      </c>
      <c r="I17" s="54">
        <f>'Balance sheet'!I36-'Balance sheet'!H36</f>
        <v>3326399.9999999995</v>
      </c>
      <c r="J17" s="54">
        <f>'Balance sheet'!J36-'Balance sheet'!I36</f>
        <v>381024.00000000047</v>
      </c>
      <c r="K17" s="54">
        <f>'Balance sheet'!K36-'Balance sheet'!J36</f>
        <v>409248</v>
      </c>
      <c r="L17" s="54">
        <f>'Balance sheet'!L36-'Balance sheet'!K36</f>
        <v>678258</v>
      </c>
      <c r="M17" s="54">
        <f>'Balance sheet'!M36-'Balance sheet'!L36</f>
        <v>631260</v>
      </c>
    </row>
    <row r="18" spans="3:13" ht="15" thickTop="1" x14ac:dyDescent="0.35">
      <c r="D18" s="12" t="s">
        <v>212</v>
      </c>
      <c r="I18" s="70">
        <f>SUM(I13:I17)</f>
        <v>3442399.9999999995</v>
      </c>
      <c r="J18" s="70">
        <f t="shared" ref="J18:M18" si="2">SUM(J13:J17)</f>
        <v>79478784</v>
      </c>
      <c r="K18" s="70">
        <f t="shared" si="2"/>
        <v>104254848</v>
      </c>
      <c r="L18" s="70">
        <f t="shared" si="2"/>
        <v>143450418</v>
      </c>
      <c r="M18" s="70">
        <f t="shared" si="2"/>
        <v>183589260</v>
      </c>
    </row>
    <row r="19" spans="3:13" x14ac:dyDescent="0.35">
      <c r="E19" t="s">
        <v>209</v>
      </c>
      <c r="I19" s="33">
        <f>-H12</f>
        <v>0</v>
      </c>
      <c r="J19" s="33">
        <f t="shared" ref="J19:M19" si="3">-I12</f>
        <v>-8876372.4833333343</v>
      </c>
      <c r="K19" s="33">
        <f t="shared" si="3"/>
        <v>-19077681.188583333</v>
      </c>
      <c r="L19" s="33">
        <f t="shared" si="3"/>
        <v>-25824231.267992083</v>
      </c>
      <c r="M19" s="33">
        <f t="shared" si="3"/>
        <v>-38793868.472239263</v>
      </c>
    </row>
    <row r="20" spans="3:13" ht="15" thickBot="1" x14ac:dyDescent="0.4">
      <c r="I20" s="54"/>
      <c r="J20" s="54"/>
      <c r="K20" s="54"/>
      <c r="L20" s="54"/>
      <c r="M20" s="54"/>
    </row>
    <row r="21" spans="3:13" ht="15.5" thickTop="1" thickBot="1" x14ac:dyDescent="0.4">
      <c r="C21" s="12" t="s">
        <v>214</v>
      </c>
      <c r="I21" s="50">
        <f>SUM(I18:I20)</f>
        <v>3442399.9999999995</v>
      </c>
      <c r="J21" s="50">
        <f t="shared" ref="J21:M21" si="4">SUM(J18:J20)</f>
        <v>70602411.516666666</v>
      </c>
      <c r="K21" s="50">
        <f t="shared" si="4"/>
        <v>85177166.811416671</v>
      </c>
      <c r="L21" s="50">
        <f t="shared" si="4"/>
        <v>117626186.73200792</v>
      </c>
      <c r="M21" s="50">
        <f t="shared" si="4"/>
        <v>144795391.52776074</v>
      </c>
    </row>
    <row r="22" spans="3:13" ht="15" thickTop="1" x14ac:dyDescent="0.35">
      <c r="I22" s="27"/>
      <c r="J22" s="27"/>
      <c r="K22" s="27"/>
      <c r="L22" s="27"/>
      <c r="M22" s="27"/>
    </row>
    <row r="23" spans="3:13" x14ac:dyDescent="0.35">
      <c r="C23" s="12" t="s">
        <v>215</v>
      </c>
      <c r="I23" s="27"/>
      <c r="J23" s="27"/>
      <c r="K23" s="27"/>
      <c r="L23" s="27"/>
      <c r="M23" s="27"/>
    </row>
    <row r="24" spans="3:13" x14ac:dyDescent="0.35">
      <c r="E24" t="s">
        <v>134</v>
      </c>
      <c r="I24" s="33">
        <f>-workings!J61</f>
        <v>-93000000</v>
      </c>
      <c r="J24" s="33">
        <f>-workings!K61</f>
        <v>0</v>
      </c>
      <c r="K24" s="33">
        <f>-workings!L61</f>
        <v>-24000000</v>
      </c>
      <c r="L24" s="33">
        <f>-workings!M61</f>
        <v>-16000000</v>
      </c>
      <c r="M24" s="33">
        <f>-workings!N61</f>
        <v>-7000000</v>
      </c>
    </row>
    <row r="25" spans="3:13" ht="15" thickBot="1" x14ac:dyDescent="0.4">
      <c r="I25" s="54"/>
      <c r="J25" s="54"/>
      <c r="K25" s="54"/>
      <c r="L25" s="54"/>
      <c r="M25" s="54"/>
    </row>
    <row r="26" spans="3:13" ht="15.5" thickTop="1" thickBot="1" x14ac:dyDescent="0.4">
      <c r="C26" s="12" t="s">
        <v>216</v>
      </c>
      <c r="I26" s="50">
        <f>SUM(I24:I25)</f>
        <v>-93000000</v>
      </c>
      <c r="J26" s="50">
        <f t="shared" ref="J26:M26" si="5">SUM(J24:J25)</f>
        <v>0</v>
      </c>
      <c r="K26" s="50">
        <f t="shared" si="5"/>
        <v>-24000000</v>
      </c>
      <c r="L26" s="50">
        <f t="shared" si="5"/>
        <v>-16000000</v>
      </c>
      <c r="M26" s="50">
        <f t="shared" si="5"/>
        <v>-7000000</v>
      </c>
    </row>
    <row r="27" spans="3:13" ht="15" thickTop="1" x14ac:dyDescent="0.35">
      <c r="I27" s="27"/>
      <c r="J27" s="27"/>
      <c r="K27" s="27"/>
      <c r="L27" s="27"/>
      <c r="M27" s="27"/>
    </row>
    <row r="28" spans="3:13" x14ac:dyDescent="0.35">
      <c r="C28" s="12" t="s">
        <v>217</v>
      </c>
      <c r="I28" s="27"/>
      <c r="J28" s="27"/>
      <c r="K28" s="27"/>
      <c r="L28" s="27"/>
      <c r="M28" s="27"/>
    </row>
    <row r="29" spans="3:13" x14ac:dyDescent="0.35">
      <c r="I29" s="27"/>
      <c r="J29" s="27"/>
      <c r="K29" s="27"/>
      <c r="L29" s="27"/>
      <c r="M29" s="27"/>
    </row>
    <row r="30" spans="3:13" x14ac:dyDescent="0.35">
      <c r="E30" t="s">
        <v>218</v>
      </c>
      <c r="I30" s="33">
        <f>workings!J93</f>
        <v>147628133.33333334</v>
      </c>
      <c r="J30" s="33"/>
      <c r="K30" s="33"/>
      <c r="L30" s="33"/>
      <c r="M30" s="33"/>
    </row>
    <row r="31" spans="3:13" x14ac:dyDescent="0.35">
      <c r="E31" t="s">
        <v>219</v>
      </c>
      <c r="I31" s="33">
        <f>workings!J94</f>
        <v>63269200</v>
      </c>
      <c r="J31" s="33"/>
      <c r="K31" s="33"/>
      <c r="L31" s="33"/>
      <c r="M31" s="33"/>
    </row>
    <row r="32" spans="3:13" x14ac:dyDescent="0.35">
      <c r="E32" t="s">
        <v>182</v>
      </c>
      <c r="I32" s="33">
        <f>'Income Statement'!H30</f>
        <v>0</v>
      </c>
      <c r="J32" s="33">
        <f>'Income Statement'!I30</f>
        <v>-3687108.5700000003</v>
      </c>
      <c r="K32" s="33">
        <f>'Income Statement'!J30</f>
        <v>-7924575.2629500004</v>
      </c>
      <c r="L32" s="33">
        <f>'Income Statement'!K30</f>
        <v>-10726988.372858251</v>
      </c>
      <c r="M32" s="33">
        <f>'Income Statement'!L30</f>
        <v>-16114376.134622462</v>
      </c>
    </row>
    <row r="33" spans="3:13" x14ac:dyDescent="0.35">
      <c r="E33" t="s">
        <v>208</v>
      </c>
      <c r="I33" s="33">
        <f>workings!J102</f>
        <v>-10439418</v>
      </c>
      <c r="J33" s="33">
        <f>workings!K102</f>
        <v>-9760855.8300000001</v>
      </c>
      <c r="K33" s="33">
        <f>workings!L102</f>
        <v>-9126400.2010500003</v>
      </c>
      <c r="L33" s="33">
        <f>workings!M102</f>
        <v>-8533184.1879817508</v>
      </c>
      <c r="M33" s="33">
        <f>workings!N102</f>
        <v>-7978527.2157629356</v>
      </c>
    </row>
    <row r="34" spans="3:13" x14ac:dyDescent="0.35">
      <c r="E34" t="s">
        <v>164</v>
      </c>
      <c r="I34" s="33">
        <f>workings!J103</f>
        <v>0</v>
      </c>
      <c r="J34" s="33">
        <f>workings!K103</f>
        <v>0</v>
      </c>
      <c r="K34" s="33">
        <f>workings!L103</f>
        <v>0</v>
      </c>
      <c r="L34" s="33">
        <f>workings!M103</f>
        <v>0</v>
      </c>
      <c r="M34" s="33">
        <f>workings!N103</f>
        <v>-45211654.222656637</v>
      </c>
    </row>
    <row r="35" spans="3:13" ht="15" thickBot="1" x14ac:dyDescent="0.4">
      <c r="I35" s="54"/>
      <c r="J35" s="54"/>
      <c r="K35" s="54"/>
      <c r="L35" s="54"/>
      <c r="M35" s="54"/>
    </row>
    <row r="36" spans="3:13" ht="15.5" thickTop="1" thickBot="1" x14ac:dyDescent="0.4">
      <c r="C36" s="12" t="s">
        <v>220</v>
      </c>
      <c r="I36" s="50">
        <f>SUM(I30:I35)</f>
        <v>200457915.33333334</v>
      </c>
      <c r="J36" s="50">
        <f t="shared" ref="J36:M36" si="6">SUM(J30:J35)</f>
        <v>-13447964.4</v>
      </c>
      <c r="K36" s="50">
        <f t="shared" si="6"/>
        <v>-17050975.464000002</v>
      </c>
      <c r="L36" s="50">
        <f t="shared" si="6"/>
        <v>-19260172.560840003</v>
      </c>
      <c r="M36" s="50">
        <f t="shared" si="6"/>
        <v>-69304557.573042035</v>
      </c>
    </row>
    <row r="37" spans="3:13" ht="15" thickTop="1" x14ac:dyDescent="0.35">
      <c r="I37" s="27"/>
      <c r="J37" s="27"/>
      <c r="K37" s="27"/>
      <c r="L37" s="27"/>
      <c r="M37" s="27"/>
    </row>
    <row r="38" spans="3:13" x14ac:dyDescent="0.35">
      <c r="C38" s="12" t="s">
        <v>221</v>
      </c>
      <c r="I38" s="33">
        <f>I21+I26+I36</f>
        <v>110900315.33333334</v>
      </c>
      <c r="J38" s="33">
        <f t="shared" ref="J38:M38" si="7">J21+J26+J36</f>
        <v>57154447.116666667</v>
      </c>
      <c r="K38" s="33">
        <f t="shared" si="7"/>
        <v>44126191.347416669</v>
      </c>
      <c r="L38" s="33">
        <f t="shared" si="7"/>
        <v>82366014.17116791</v>
      </c>
      <c r="M38" s="33">
        <f t="shared" si="7"/>
        <v>68490833.954718709</v>
      </c>
    </row>
    <row r="39" spans="3:13" ht="15" thickBot="1" x14ac:dyDescent="0.4">
      <c r="C39" s="12" t="s">
        <v>160</v>
      </c>
      <c r="I39" s="54">
        <f>H40</f>
        <v>0</v>
      </c>
      <c r="J39" s="54">
        <f t="shared" ref="J39:M39" si="8">I40</f>
        <v>110900315.33333334</v>
      </c>
      <c r="K39" s="54">
        <f t="shared" si="8"/>
        <v>168054762.45000002</v>
      </c>
      <c r="L39" s="54">
        <f t="shared" si="8"/>
        <v>212180953.79741669</v>
      </c>
      <c r="M39" s="54">
        <f t="shared" si="8"/>
        <v>294546967.9685846</v>
      </c>
    </row>
    <row r="40" spans="3:13" ht="15.5" thickTop="1" thickBot="1" x14ac:dyDescent="0.4">
      <c r="C40" s="12" t="s">
        <v>165</v>
      </c>
      <c r="I40" s="75">
        <f>SUM(I38:I39)</f>
        <v>110900315.33333334</v>
      </c>
      <c r="J40" s="75">
        <f t="shared" ref="J40:M40" si="9">SUM(J38:J39)</f>
        <v>168054762.45000002</v>
      </c>
      <c r="K40" s="75">
        <f t="shared" si="9"/>
        <v>212180953.79741669</v>
      </c>
      <c r="L40" s="75">
        <f t="shared" si="9"/>
        <v>294546967.9685846</v>
      </c>
      <c r="M40" s="75">
        <f t="shared" si="9"/>
        <v>363037801.92330331</v>
      </c>
    </row>
    <row r="41" spans="3:13" ht="15" thickTop="1" x14ac:dyDescent="0.35">
      <c r="I41" s="27"/>
      <c r="J41" s="27"/>
      <c r="K41" s="27"/>
      <c r="L41" s="27"/>
      <c r="M41" s="27"/>
    </row>
    <row r="42" spans="3:13" x14ac:dyDescent="0.35">
      <c r="I42" s="27"/>
      <c r="J42" s="27"/>
      <c r="K42" s="27"/>
      <c r="L42" s="27"/>
      <c r="M42" s="27"/>
    </row>
    <row r="43" spans="3:13" x14ac:dyDescent="0.35">
      <c r="I43" s="27"/>
      <c r="J43" s="27"/>
      <c r="K43" s="27"/>
      <c r="L43" s="27"/>
      <c r="M43" s="27"/>
    </row>
    <row r="44" spans="3:13" x14ac:dyDescent="0.35">
      <c r="I44" s="27"/>
      <c r="J44" s="27"/>
      <c r="K44" s="27"/>
      <c r="L44" s="27"/>
      <c r="M44" s="27"/>
    </row>
    <row r="45" spans="3:13" x14ac:dyDescent="0.35">
      <c r="I45" s="27"/>
      <c r="J45" s="27"/>
      <c r="K45" s="27"/>
      <c r="L45" s="27"/>
      <c r="M45" s="27"/>
    </row>
    <row r="46" spans="3:13" x14ac:dyDescent="0.35">
      <c r="I46" s="27"/>
      <c r="J46" s="27"/>
      <c r="K46" s="27"/>
      <c r="L46" s="27"/>
      <c r="M46" s="27"/>
    </row>
    <row r="47" spans="3:13" x14ac:dyDescent="0.35">
      <c r="I47" s="27"/>
      <c r="J47" s="27"/>
      <c r="K47" s="27"/>
      <c r="L47" s="27"/>
      <c r="M47" s="27"/>
    </row>
    <row r="48" spans="3:13" x14ac:dyDescent="0.35">
      <c r="I48" s="27"/>
      <c r="J48" s="27"/>
      <c r="K48" s="27"/>
      <c r="L48" s="27"/>
      <c r="M48" s="27"/>
    </row>
    <row r="49" spans="9:13" x14ac:dyDescent="0.35">
      <c r="I49" s="27"/>
      <c r="J49" s="27"/>
      <c r="K49" s="27"/>
      <c r="L49" s="27"/>
      <c r="M49" s="27"/>
    </row>
    <row r="50" spans="9:13" x14ac:dyDescent="0.35">
      <c r="I50" s="27"/>
      <c r="J50" s="27"/>
      <c r="K50" s="27"/>
      <c r="L50" s="27"/>
      <c r="M50" s="27"/>
    </row>
    <row r="51" spans="9:13" x14ac:dyDescent="0.35">
      <c r="I51" s="27"/>
      <c r="J51" s="27"/>
      <c r="K51" s="27"/>
      <c r="L51" s="27"/>
      <c r="M51" s="27"/>
    </row>
    <row r="52" spans="9:13" x14ac:dyDescent="0.35">
      <c r="I52" s="27"/>
      <c r="J52" s="27"/>
      <c r="K52" s="27"/>
      <c r="L52" s="27"/>
      <c r="M52" s="27"/>
    </row>
    <row r="53" spans="9:13" x14ac:dyDescent="0.35">
      <c r="I53" s="27"/>
      <c r="J53" s="27"/>
      <c r="K53" s="27"/>
      <c r="L53" s="27"/>
      <c r="M53" s="27"/>
    </row>
    <row r="54" spans="9:13" x14ac:dyDescent="0.35">
      <c r="I54" s="27"/>
      <c r="J54" s="27"/>
      <c r="K54" s="27"/>
      <c r="L54" s="27"/>
      <c r="M54" s="27"/>
    </row>
    <row r="55" spans="9:13" x14ac:dyDescent="0.35">
      <c r="I55" s="27"/>
      <c r="J55" s="27"/>
      <c r="K55" s="27"/>
      <c r="L55" s="27"/>
      <c r="M55" s="27"/>
    </row>
    <row r="56" spans="9:13" x14ac:dyDescent="0.35">
      <c r="I56" s="27"/>
      <c r="J56" s="27"/>
      <c r="K56" s="27"/>
      <c r="L56" s="27"/>
      <c r="M56" s="27"/>
    </row>
    <row r="57" spans="9:13" x14ac:dyDescent="0.35">
      <c r="I57" s="27"/>
      <c r="J57" s="27"/>
      <c r="K57" s="27"/>
      <c r="L57" s="27"/>
      <c r="M57" s="27"/>
    </row>
    <row r="58" spans="9:13" x14ac:dyDescent="0.35">
      <c r="I58" s="27"/>
      <c r="J58" s="27"/>
      <c r="K58" s="27"/>
      <c r="L58" s="27"/>
      <c r="M58" s="27"/>
    </row>
    <row r="59" spans="9:13" x14ac:dyDescent="0.35">
      <c r="I59" s="27"/>
      <c r="J59" s="27"/>
      <c r="K59" s="27"/>
      <c r="L59" s="27"/>
      <c r="M59" s="27"/>
    </row>
    <row r="60" spans="9:13" x14ac:dyDescent="0.35">
      <c r="I60" s="27"/>
      <c r="J60" s="27"/>
      <c r="K60" s="27"/>
      <c r="L60" s="27"/>
      <c r="M60" s="27"/>
    </row>
    <row r="61" spans="9:13" x14ac:dyDescent="0.35">
      <c r="I61" s="27"/>
      <c r="J61" s="27"/>
      <c r="K61" s="27"/>
      <c r="L61" s="27"/>
      <c r="M61" s="27"/>
    </row>
    <row r="62" spans="9:13" x14ac:dyDescent="0.35">
      <c r="I62" s="27"/>
      <c r="J62" s="27"/>
      <c r="K62" s="27"/>
      <c r="L62" s="27"/>
      <c r="M62" s="27"/>
    </row>
    <row r="63" spans="9:13" x14ac:dyDescent="0.35">
      <c r="I63" s="27"/>
      <c r="J63" s="27"/>
      <c r="K63" s="27"/>
      <c r="L63" s="27"/>
      <c r="M63" s="27"/>
    </row>
    <row r="64" spans="9:13" x14ac:dyDescent="0.35">
      <c r="I64" s="27"/>
      <c r="J64" s="27"/>
      <c r="K64" s="27"/>
      <c r="L64" s="27"/>
      <c r="M64" s="27"/>
    </row>
    <row r="65" spans="9:13" x14ac:dyDescent="0.35">
      <c r="I65" s="27"/>
      <c r="J65" s="27"/>
      <c r="K65" s="27"/>
      <c r="L65" s="27"/>
      <c r="M65" s="27"/>
    </row>
    <row r="66" spans="9:13" x14ac:dyDescent="0.35">
      <c r="I66" s="27"/>
      <c r="J66" s="27"/>
      <c r="K66" s="27"/>
      <c r="L66" s="27"/>
      <c r="M66" s="27"/>
    </row>
    <row r="67" spans="9:13" x14ac:dyDescent="0.35">
      <c r="I67" s="27"/>
      <c r="J67" s="27"/>
      <c r="K67" s="27"/>
      <c r="L67" s="27"/>
      <c r="M67" s="27"/>
    </row>
    <row r="68" spans="9:13" x14ac:dyDescent="0.35">
      <c r="I68" s="27"/>
      <c r="J68" s="27"/>
      <c r="K68" s="27"/>
      <c r="L68" s="27"/>
      <c r="M68" s="27"/>
    </row>
    <row r="69" spans="9:13" x14ac:dyDescent="0.35">
      <c r="I69" s="27"/>
      <c r="J69" s="27"/>
      <c r="K69" s="27"/>
      <c r="L69" s="27"/>
      <c r="M69" s="27"/>
    </row>
    <row r="70" spans="9:13" x14ac:dyDescent="0.35">
      <c r="I70" s="27"/>
      <c r="J70" s="27"/>
      <c r="K70" s="27"/>
      <c r="L70" s="27"/>
      <c r="M70" s="27"/>
    </row>
    <row r="71" spans="9:13" x14ac:dyDescent="0.35">
      <c r="I71" s="27"/>
      <c r="J71" s="27"/>
      <c r="K71" s="27"/>
      <c r="L71" s="27"/>
      <c r="M71" s="27"/>
    </row>
    <row r="72" spans="9:13" x14ac:dyDescent="0.35">
      <c r="I72" s="27"/>
      <c r="J72" s="27"/>
      <c r="K72" s="27"/>
      <c r="L72" s="27"/>
      <c r="M72" s="27"/>
    </row>
    <row r="73" spans="9:13" x14ac:dyDescent="0.35">
      <c r="I73" s="27"/>
      <c r="J73" s="27"/>
      <c r="K73" s="27"/>
      <c r="L73" s="27"/>
      <c r="M73" s="27"/>
    </row>
    <row r="74" spans="9:13" x14ac:dyDescent="0.35">
      <c r="I74" s="27"/>
      <c r="J74" s="27"/>
      <c r="K74" s="27"/>
      <c r="L74" s="27"/>
      <c r="M74" s="27"/>
    </row>
    <row r="75" spans="9:13" x14ac:dyDescent="0.35">
      <c r="I75" s="27"/>
      <c r="J75" s="27"/>
      <c r="K75" s="27"/>
      <c r="L75" s="27"/>
      <c r="M75" s="2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Drop Down 1">
              <controlPr defaultSize="0" autoLine="0" autoPict="0">
                <anchor moveWithCells="1">
                  <from>
                    <xdr:col>3</xdr:col>
                    <xdr:colOff>25400</xdr:colOff>
                    <xdr:row>0</xdr:row>
                    <xdr:rowOff>19050</xdr:rowOff>
                  </from>
                  <to>
                    <xdr:col>5</xdr:col>
                    <xdr:colOff>19050</xdr:colOff>
                    <xdr:row>1</xdr:row>
                    <xdr:rowOff>88900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F7E-8099-4F91-9002-7915022ECC55}">
  <dimension ref="C1:M61"/>
  <sheetViews>
    <sheetView showGridLines="0" workbookViewId="0">
      <selection activeCell="M2" sqref="M2"/>
    </sheetView>
  </sheetViews>
  <sheetFormatPr defaultRowHeight="14.5" x14ac:dyDescent="0.35"/>
  <cols>
    <col min="3" max="3" width="13.453125" customWidth="1"/>
    <col min="8" max="8" width="19.81640625" customWidth="1"/>
    <col min="9" max="9" width="13.81640625" bestFit="1" customWidth="1"/>
    <col min="10" max="10" width="14.54296875" customWidth="1"/>
    <col min="11" max="11" width="12.1796875" customWidth="1"/>
    <col min="12" max="12" width="12.6328125" customWidth="1"/>
    <col min="13" max="13" width="17.1796875" customWidth="1"/>
  </cols>
  <sheetData>
    <row r="1" spans="3:13" x14ac:dyDescent="0.35">
      <c r="C1" t="s">
        <v>43</v>
      </c>
      <c r="G1" t="s">
        <v>0</v>
      </c>
      <c r="L1" t="s">
        <v>44</v>
      </c>
      <c r="M1" s="107">
        <f ca="1">TODAY()</f>
        <v>45710</v>
      </c>
    </row>
    <row r="3" spans="3:13" ht="37" x14ac:dyDescent="0.85">
      <c r="C3" s="14"/>
      <c r="D3" s="14"/>
      <c r="E3" s="14"/>
      <c r="F3" s="14"/>
      <c r="G3" s="78" t="s">
        <v>53</v>
      </c>
      <c r="H3" s="14"/>
      <c r="I3" s="14"/>
      <c r="J3" s="14"/>
      <c r="K3" s="14"/>
      <c r="L3" s="14"/>
      <c r="M3" s="14"/>
    </row>
    <row r="4" spans="3:13" x14ac:dyDescent="0.35">
      <c r="C4" s="14"/>
      <c r="D4" s="14"/>
      <c r="E4" s="14"/>
      <c r="F4" s="14"/>
      <c r="G4" s="14"/>
      <c r="H4" s="14"/>
      <c r="I4" s="14"/>
      <c r="J4" s="14"/>
      <c r="K4" s="14"/>
      <c r="L4" s="14"/>
      <c r="M4" s="14"/>
    </row>
    <row r="6" spans="3:13" ht="15" thickBot="1" x14ac:dyDescent="0.4">
      <c r="H6" s="57">
        <v>2023</v>
      </c>
      <c r="I6" s="88">
        <v>1</v>
      </c>
      <c r="J6" s="84">
        <v>2</v>
      </c>
      <c r="K6" s="85">
        <v>3</v>
      </c>
      <c r="L6" s="86">
        <v>4</v>
      </c>
      <c r="M6" s="87">
        <v>5</v>
      </c>
    </row>
    <row r="7" spans="3:13" ht="15" thickTop="1" x14ac:dyDescent="0.35">
      <c r="C7" s="12" t="s">
        <v>222</v>
      </c>
    </row>
    <row r="8" spans="3:13" x14ac:dyDescent="0.35">
      <c r="C8" s="79" t="s">
        <v>223</v>
      </c>
    </row>
    <row r="9" spans="3:13" x14ac:dyDescent="0.35">
      <c r="E9" t="s">
        <v>224</v>
      </c>
      <c r="H9" s="59"/>
      <c r="I9" s="62">
        <f>'Income Statement'!I28</f>
        <v>18435542.850000001</v>
      </c>
      <c r="J9" s="62">
        <f>'Income Statement'!J28</f>
        <v>39622876.314750001</v>
      </c>
      <c r="K9" s="62">
        <f>'Income Statement'!K28</f>
        <v>53634941.864291251</v>
      </c>
      <c r="L9" s="62">
        <f>'Income Statement'!L28</f>
        <v>80571880.673112303</v>
      </c>
      <c r="M9" s="62">
        <f>'Income Statement'!M28</f>
        <v>78818367.529066786</v>
      </c>
    </row>
    <row r="10" spans="3:13" x14ac:dyDescent="0.35">
      <c r="I10" s="13"/>
      <c r="J10" s="13"/>
      <c r="K10" s="13"/>
      <c r="L10" s="13"/>
      <c r="M10" s="13"/>
    </row>
    <row r="11" spans="3:13" x14ac:dyDescent="0.35">
      <c r="D11" t="s">
        <v>225</v>
      </c>
      <c r="E11" t="s">
        <v>226</v>
      </c>
      <c r="I11" s="13"/>
      <c r="J11" s="13"/>
      <c r="K11" s="13"/>
      <c r="L11" s="13"/>
      <c r="M11" s="13"/>
    </row>
    <row r="12" spans="3:13" x14ac:dyDescent="0.35">
      <c r="E12" t="s">
        <v>172</v>
      </c>
      <c r="I12" s="62">
        <f>-'Income Statement'!I18</f>
        <v>15716666.666666666</v>
      </c>
      <c r="J12" s="62">
        <f>-'Income Statement'!J18</f>
        <v>15716666.666666666</v>
      </c>
      <c r="K12" s="62">
        <f>-'Income Statement'!K18</f>
        <v>20716666.666666668</v>
      </c>
      <c r="L12" s="62">
        <f>-'Income Statement'!L18</f>
        <v>23916666.666666668</v>
      </c>
      <c r="M12" s="62">
        <f>-'Income Statement'!M18</f>
        <v>21416666.666666668</v>
      </c>
    </row>
    <row r="13" spans="3:13" x14ac:dyDescent="0.35">
      <c r="I13" s="13"/>
      <c r="J13" s="13"/>
      <c r="K13" s="13"/>
      <c r="L13" s="13"/>
      <c r="M13" s="13"/>
    </row>
    <row r="14" spans="3:13" x14ac:dyDescent="0.35">
      <c r="D14" t="s">
        <v>227</v>
      </c>
      <c r="E14" t="s">
        <v>228</v>
      </c>
      <c r="I14" s="33">
        <f>workings!J132</f>
        <v>7046607.1500000004</v>
      </c>
      <c r="J14" s="33">
        <f>workings!K132</f>
        <v>6588577.6852500001</v>
      </c>
      <c r="K14" s="33">
        <f>workings!L132</f>
        <v>6160320.1357087502</v>
      </c>
      <c r="L14" s="33">
        <f>workings!M132</f>
        <v>5759899.3268876821</v>
      </c>
      <c r="M14" s="33">
        <f>workings!N132</f>
        <v>35903372.470933214</v>
      </c>
    </row>
    <row r="15" spans="3:13" x14ac:dyDescent="0.35">
      <c r="I15" s="13"/>
      <c r="J15" s="13"/>
      <c r="K15" s="13"/>
      <c r="L15" s="13"/>
      <c r="M15" s="13"/>
    </row>
    <row r="16" spans="3:13" x14ac:dyDescent="0.35">
      <c r="D16" t="s">
        <v>233</v>
      </c>
      <c r="E16" t="s">
        <v>234</v>
      </c>
      <c r="I16" s="33">
        <f>Cashflows!I15+Cashflows!I16+Cashflows!I17</f>
        <v>-50025600</v>
      </c>
      <c r="J16" s="33">
        <f>Cashflows!J15+Cashflows!J16+Cashflows!J17</f>
        <v>-4699296</v>
      </c>
      <c r="K16" s="33">
        <f>Cashflows!K15+Cashflows!K16+Cashflows!K17</f>
        <v>-5047392</v>
      </c>
      <c r="L16" s="33">
        <f>Cashflows!L15+Cashflows!L16+Cashflows!L17</f>
        <v>-8365182</v>
      </c>
      <c r="M16" s="33">
        <f>Cashflows!M15+Cashflows!M16+Cashflows!M17</f>
        <v>-7785540</v>
      </c>
    </row>
    <row r="17" spans="3:13" x14ac:dyDescent="0.35">
      <c r="I17" s="13"/>
      <c r="J17" s="13"/>
      <c r="K17" s="13"/>
      <c r="L17" s="13"/>
      <c r="M17" s="13"/>
    </row>
    <row r="18" spans="3:13" x14ac:dyDescent="0.35">
      <c r="D18" t="s">
        <v>233</v>
      </c>
      <c r="E18" t="s">
        <v>235</v>
      </c>
      <c r="I18" s="33">
        <f>-workings!J61</f>
        <v>-93000000</v>
      </c>
      <c r="J18" s="33">
        <f>-workings!K61</f>
        <v>0</v>
      </c>
      <c r="K18" s="33">
        <f>-workings!L61</f>
        <v>-24000000</v>
      </c>
      <c r="L18" s="33">
        <f>-workings!M61</f>
        <v>-16000000</v>
      </c>
      <c r="M18" s="33">
        <f>-workings!N61</f>
        <v>-7000000</v>
      </c>
    </row>
    <row r="19" spans="3:13" ht="15" thickBot="1" x14ac:dyDescent="0.4"/>
    <row r="20" spans="3:13" ht="15.5" thickTop="1" thickBot="1" x14ac:dyDescent="0.4">
      <c r="C20" s="12" t="s">
        <v>236</v>
      </c>
      <c r="I20" s="71">
        <f>SUM(I9:I19)</f>
        <v>-101826783.33333334</v>
      </c>
      <c r="J20" s="71">
        <f t="shared" ref="J20:M20" si="0">SUM(J9:J19)</f>
        <v>57228824.666666664</v>
      </c>
      <c r="K20" s="71">
        <f t="shared" si="0"/>
        <v>51464536.666666672</v>
      </c>
      <c r="L20" s="71">
        <f t="shared" si="0"/>
        <v>85883264.666666657</v>
      </c>
      <c r="M20" s="71">
        <f t="shared" si="0"/>
        <v>121352866.66666669</v>
      </c>
    </row>
    <row r="21" spans="3:13" ht="15" thickTop="1" x14ac:dyDescent="0.35">
      <c r="C21" s="12" t="s">
        <v>164</v>
      </c>
      <c r="E21" t="s">
        <v>255</v>
      </c>
      <c r="I21" s="89"/>
      <c r="J21" s="89"/>
      <c r="K21" s="89"/>
      <c r="L21" s="89"/>
      <c r="M21" s="89">
        <f>(M20*(1+I61))/(I57-I61)</f>
        <v>1002614808.3236494</v>
      </c>
    </row>
    <row r="22" spans="3:13" x14ac:dyDescent="0.35">
      <c r="C22" s="12" t="s">
        <v>258</v>
      </c>
      <c r="I22" s="47">
        <f>I20+I21</f>
        <v>-101826783.33333334</v>
      </c>
      <c r="J22" s="47">
        <f t="shared" ref="J22:M22" si="1">J20+J21</f>
        <v>57228824.666666664</v>
      </c>
      <c r="K22" s="47">
        <f t="shared" si="1"/>
        <v>51464536.666666672</v>
      </c>
      <c r="L22" s="47">
        <f t="shared" si="1"/>
        <v>85883264.666666657</v>
      </c>
      <c r="M22" s="47">
        <f t="shared" si="1"/>
        <v>1123967674.9903162</v>
      </c>
    </row>
    <row r="23" spans="3:13" x14ac:dyDescent="0.35">
      <c r="I23" s="13"/>
      <c r="J23" s="13"/>
      <c r="K23" s="13"/>
      <c r="L23" s="13"/>
      <c r="M23" s="13"/>
    </row>
    <row r="24" spans="3:13" x14ac:dyDescent="0.35">
      <c r="C24" t="s">
        <v>256</v>
      </c>
      <c r="E24" t="s">
        <v>257</v>
      </c>
      <c r="I24" s="90">
        <f>(1+$I$57)^-I6</f>
        <v>0.86621840268309402</v>
      </c>
      <c r="J24" s="90">
        <f>(1+$I$57)^-J6</f>
        <v>0.75033432114685084</v>
      </c>
      <c r="K24" s="90">
        <f>(1+$I$57)^-K6</f>
        <v>0.64995339714212885</v>
      </c>
      <c r="L24" s="90">
        <f>(1+$I$57)^-L6</f>
        <v>0.56300159349090551</v>
      </c>
      <c r="M24" s="90">
        <f>(1+$I$57)^-M6</f>
        <v>0.4876823410217288</v>
      </c>
    </row>
    <row r="25" spans="3:13" x14ac:dyDescent="0.35">
      <c r="I25" s="90"/>
      <c r="J25" s="90"/>
      <c r="K25" s="90"/>
      <c r="L25" s="90"/>
      <c r="M25" s="90"/>
    </row>
    <row r="26" spans="3:13" x14ac:dyDescent="0.35">
      <c r="C26" t="s">
        <v>259</v>
      </c>
      <c r="E26" t="s">
        <v>260</v>
      </c>
      <c r="I26" s="56">
        <f>I22*I24</f>
        <v>-88204233.609357506</v>
      </c>
      <c r="J26" s="56">
        <f t="shared" ref="J26:M26" si="2">J22*J24</f>
        <v>42940751.306295484</v>
      </c>
      <c r="K26" s="56">
        <f t="shared" si="2"/>
        <v>33449550.438845657</v>
      </c>
      <c r="L26" s="56">
        <f t="shared" si="2"/>
        <v>48352414.861534506</v>
      </c>
      <c r="M26" s="56">
        <f t="shared" si="2"/>
        <v>548139186.97202706</v>
      </c>
    </row>
    <row r="27" spans="3:13" ht="15" thickBot="1" x14ac:dyDescent="0.4">
      <c r="I27" s="27"/>
      <c r="J27" s="27"/>
      <c r="K27" s="27"/>
      <c r="L27" s="27"/>
      <c r="M27" s="27"/>
    </row>
    <row r="28" spans="3:13" ht="15.5" thickTop="1" thickBot="1" x14ac:dyDescent="0.4">
      <c r="C28" s="12" t="s">
        <v>261</v>
      </c>
      <c r="I28" s="71">
        <f>SUM(I26:M26)</f>
        <v>584677669.96934521</v>
      </c>
      <c r="J28" s="27"/>
      <c r="K28" s="27"/>
      <c r="L28" s="27"/>
      <c r="M28" s="27"/>
    </row>
    <row r="29" spans="3:13" ht="15" thickTop="1" x14ac:dyDescent="0.35"/>
    <row r="30" spans="3:13" x14ac:dyDescent="0.35">
      <c r="C30" s="12" t="s">
        <v>240</v>
      </c>
    </row>
    <row r="31" spans="3:13" x14ac:dyDescent="0.35">
      <c r="C31" s="79" t="s">
        <v>223</v>
      </c>
    </row>
    <row r="32" spans="3:13" x14ac:dyDescent="0.35">
      <c r="E32" t="s">
        <v>224</v>
      </c>
      <c r="H32" s="59"/>
      <c r="I32" s="62">
        <f>'Income Statement'!I28</f>
        <v>18435542.850000001</v>
      </c>
      <c r="J32" s="62">
        <f>'Income Statement'!J28</f>
        <v>39622876.314750001</v>
      </c>
      <c r="K32" s="62">
        <f>'Income Statement'!K28</f>
        <v>53634941.864291251</v>
      </c>
      <c r="L32" s="62">
        <f>'Income Statement'!L28</f>
        <v>80571880.673112303</v>
      </c>
      <c r="M32" s="62">
        <f>'Income Statement'!M28</f>
        <v>78818367.529066786</v>
      </c>
    </row>
    <row r="33" spans="3:13" x14ac:dyDescent="0.35">
      <c r="I33" s="13"/>
      <c r="J33" s="13"/>
      <c r="K33" s="13"/>
      <c r="L33" s="13"/>
      <c r="M33" s="13"/>
    </row>
    <row r="34" spans="3:13" x14ac:dyDescent="0.35">
      <c r="D34" t="s">
        <v>225</v>
      </c>
      <c r="E34" t="s">
        <v>226</v>
      </c>
      <c r="I34" s="13"/>
      <c r="J34" s="13"/>
      <c r="K34" s="13"/>
      <c r="L34" s="13"/>
      <c r="M34" s="13"/>
    </row>
    <row r="35" spans="3:13" x14ac:dyDescent="0.35">
      <c r="E35" t="s">
        <v>172</v>
      </c>
      <c r="I35" s="62">
        <f>-'Income Statement'!I18</f>
        <v>15716666.666666666</v>
      </c>
      <c r="J35" s="62">
        <f>-'Income Statement'!J18</f>
        <v>15716666.666666666</v>
      </c>
      <c r="K35" s="62">
        <f>-'Income Statement'!K18</f>
        <v>20716666.666666668</v>
      </c>
      <c r="L35" s="62">
        <f>-'Income Statement'!L18</f>
        <v>23916666.666666668</v>
      </c>
      <c r="M35" s="62">
        <f>-'Income Statement'!M18</f>
        <v>21416666.666666668</v>
      </c>
    </row>
    <row r="36" spans="3:13" x14ac:dyDescent="0.35">
      <c r="I36" s="13"/>
      <c r="J36" s="13"/>
      <c r="K36" s="13"/>
      <c r="L36" s="13"/>
      <c r="M36" s="13"/>
    </row>
    <row r="37" spans="3:13" x14ac:dyDescent="0.35">
      <c r="I37" s="13"/>
      <c r="J37" s="13"/>
      <c r="K37" s="13"/>
      <c r="L37" s="13"/>
      <c r="M37" s="13"/>
    </row>
    <row r="38" spans="3:13" x14ac:dyDescent="0.35">
      <c r="D38" t="s">
        <v>233</v>
      </c>
      <c r="E38" t="s">
        <v>234</v>
      </c>
      <c r="I38" s="33">
        <f>Cashflows!I15+Cashflows!I16+Cashflows!I17</f>
        <v>-50025600</v>
      </c>
      <c r="J38" s="33">
        <f>Cashflows!J15+Cashflows!J16+Cashflows!J17</f>
        <v>-4699296</v>
      </c>
      <c r="K38" s="33">
        <f>Cashflows!K15+Cashflows!K16+Cashflows!K17</f>
        <v>-5047392</v>
      </c>
      <c r="L38" s="33">
        <f>Cashflows!L15+Cashflows!L16+Cashflows!L17</f>
        <v>-8365182</v>
      </c>
      <c r="M38" s="33">
        <f>Cashflows!M15+Cashflows!M16+Cashflows!M17</f>
        <v>-7785540</v>
      </c>
    </row>
    <row r="39" spans="3:13" x14ac:dyDescent="0.35">
      <c r="I39" s="13"/>
      <c r="J39" s="13"/>
      <c r="K39" s="13"/>
      <c r="L39" s="13"/>
      <c r="M39" s="13"/>
    </row>
    <row r="40" spans="3:13" x14ac:dyDescent="0.35">
      <c r="D40" t="s">
        <v>233</v>
      </c>
      <c r="E40" t="s">
        <v>235</v>
      </c>
      <c r="I40" s="33">
        <f>-workings!J61</f>
        <v>-93000000</v>
      </c>
      <c r="J40" s="33">
        <f>-workings!K61</f>
        <v>0</v>
      </c>
      <c r="K40" s="33">
        <f>-workings!L61</f>
        <v>-24000000</v>
      </c>
      <c r="L40" s="33">
        <f>-workings!M61</f>
        <v>-16000000</v>
      </c>
      <c r="M40" s="33">
        <f>-workings!N61</f>
        <v>-7000000</v>
      </c>
    </row>
    <row r="41" spans="3:13" x14ac:dyDescent="0.35">
      <c r="I41" s="33"/>
      <c r="J41" s="33"/>
      <c r="K41" s="33"/>
      <c r="L41" s="33"/>
      <c r="M41" s="33"/>
    </row>
    <row r="42" spans="3:13" x14ac:dyDescent="0.35">
      <c r="E42" t="s">
        <v>238</v>
      </c>
      <c r="F42" t="s">
        <v>239</v>
      </c>
      <c r="I42" s="33">
        <f>'Balance sheet'!I30-'Balance sheet'!H30</f>
        <v>59156702</v>
      </c>
      <c r="J42" s="33">
        <f>'Balance sheet'!J30-'Balance sheet'!I30</f>
        <v>-3845185.6299999952</v>
      </c>
      <c r="K42" s="33">
        <f>'Balance sheet'!K30-'Balance sheet'!J30</f>
        <v>-3595248.5640499964</v>
      </c>
      <c r="L42" s="33">
        <f>'Balance sheet'!L30-'Balance sheet'!K30</f>
        <v>-3361557.4073867574</v>
      </c>
      <c r="M42" s="33">
        <f>'Balance sheet'!M30-'Balance sheet'!L30</f>
        <v>-48354710.398563251</v>
      </c>
    </row>
    <row r="43" spans="3:13" ht="15" thickBot="1" x14ac:dyDescent="0.4"/>
    <row r="44" spans="3:13" ht="15" thickTop="1" x14ac:dyDescent="0.35">
      <c r="C44" s="12" t="s">
        <v>237</v>
      </c>
      <c r="I44" s="91">
        <f>SUM(I32:I43)</f>
        <v>-49716688.483333334</v>
      </c>
      <c r="J44" s="91">
        <f>SUM(J32:J43)</f>
        <v>46795061.35141667</v>
      </c>
      <c r="K44" s="91">
        <f>SUM(K32:K43)</f>
        <v>41708967.966907926</v>
      </c>
      <c r="L44" s="91">
        <f>SUM(L32:L43)</f>
        <v>76761807.93239221</v>
      </c>
      <c r="M44" s="91">
        <f>SUM(M32:M43)</f>
        <v>37094783.797170207</v>
      </c>
    </row>
    <row r="45" spans="3:13" x14ac:dyDescent="0.35">
      <c r="C45" s="12" t="s">
        <v>164</v>
      </c>
      <c r="D45" t="s">
        <v>262</v>
      </c>
      <c r="I45" s="92"/>
      <c r="J45" s="92"/>
      <c r="K45" s="92"/>
      <c r="L45" s="92"/>
      <c r="M45" s="92">
        <f>(M44*(1+I61))/(I59-I61)</f>
        <v>259089193.54570827</v>
      </c>
    </row>
    <row r="46" spans="3:13" x14ac:dyDescent="0.35">
      <c r="C46" s="12" t="s">
        <v>263</v>
      </c>
      <c r="I46" s="92">
        <f>I44+I45</f>
        <v>-49716688.483333334</v>
      </c>
      <c r="J46" s="92">
        <f t="shared" ref="J46:M46" si="3">J44+J45</f>
        <v>46795061.35141667</v>
      </c>
      <c r="K46" s="92">
        <f t="shared" si="3"/>
        <v>41708967.966907926</v>
      </c>
      <c r="L46" s="92">
        <f t="shared" si="3"/>
        <v>76761807.93239221</v>
      </c>
      <c r="M46" s="92">
        <f t="shared" si="3"/>
        <v>296183977.34287846</v>
      </c>
    </row>
    <row r="47" spans="3:13" x14ac:dyDescent="0.35">
      <c r="C47" s="12"/>
      <c r="I47" s="92"/>
      <c r="J47" s="92"/>
      <c r="K47" s="92"/>
      <c r="L47" s="92"/>
      <c r="M47" s="92"/>
    </row>
    <row r="48" spans="3:13" x14ac:dyDescent="0.35">
      <c r="C48" s="12" t="s">
        <v>256</v>
      </c>
      <c r="D48" t="s">
        <v>264</v>
      </c>
      <c r="I48" s="93">
        <f>(1+$I$59)^-I6</f>
        <v>0.84944419134652371</v>
      </c>
      <c r="J48" s="93">
        <f t="shared" ref="J48:M48" si="4">(1+$I$59)^-J6</f>
        <v>0.72155543421234947</v>
      </c>
      <c r="K48" s="93">
        <f t="shared" si="4"/>
        <v>0.61292107232619897</v>
      </c>
      <c r="L48" s="93">
        <f t="shared" si="4"/>
        <v>0.52064224464137221</v>
      </c>
      <c r="M48" s="93">
        <f t="shared" si="4"/>
        <v>0.44225653048022934</v>
      </c>
    </row>
    <row r="49" spans="3:13" x14ac:dyDescent="0.35">
      <c r="C49" s="12"/>
      <c r="I49" s="92"/>
      <c r="J49" s="92"/>
      <c r="K49" s="92"/>
      <c r="L49" s="92"/>
      <c r="M49" s="92"/>
    </row>
    <row r="50" spans="3:13" x14ac:dyDescent="0.35">
      <c r="C50" s="12" t="s">
        <v>265</v>
      </c>
      <c r="D50" t="s">
        <v>260</v>
      </c>
      <c r="I50" s="92">
        <f>I46*I48</f>
        <v>-42231552.245152116</v>
      </c>
      <c r="J50" s="92">
        <f t="shared" ref="J50:M50" si="5">J46*J48</f>
        <v>33765230.812414989</v>
      </c>
      <c r="K50" s="92">
        <f t="shared" si="5"/>
        <v>25564305.371896289</v>
      </c>
      <c r="L50" s="92">
        <f t="shared" si="5"/>
        <v>39965439.984650567</v>
      </c>
      <c r="M50" s="92">
        <f t="shared" si="5"/>
        <v>130989298.20349628</v>
      </c>
    </row>
    <row r="51" spans="3:13" ht="15" thickBot="1" x14ac:dyDescent="0.4">
      <c r="C51" s="12"/>
      <c r="I51" s="92"/>
      <c r="J51" s="92"/>
      <c r="K51" s="92"/>
      <c r="L51" s="92"/>
      <c r="M51" s="92"/>
    </row>
    <row r="52" spans="3:13" ht="15" thickTop="1" x14ac:dyDescent="0.35">
      <c r="C52" s="12" t="s">
        <v>266</v>
      </c>
      <c r="I52" s="91">
        <f>SUM(I50:M50)</f>
        <v>188052722.12730601</v>
      </c>
      <c r="J52" s="92"/>
      <c r="K52" s="92"/>
      <c r="L52" s="92"/>
      <c r="M52" s="92"/>
    </row>
    <row r="53" spans="3:13" x14ac:dyDescent="0.35">
      <c r="C53" s="12"/>
      <c r="I53" s="89"/>
      <c r="J53" s="89"/>
      <c r="K53" s="89"/>
      <c r="L53" s="89"/>
      <c r="M53" s="89"/>
    </row>
    <row r="54" spans="3:13" x14ac:dyDescent="0.35">
      <c r="C54" s="12"/>
      <c r="I54" s="89"/>
      <c r="J54" s="89"/>
      <c r="K54" s="89"/>
      <c r="L54" s="89"/>
      <c r="M54" s="89"/>
    </row>
    <row r="55" spans="3:13" x14ac:dyDescent="0.35">
      <c r="C55" s="12"/>
      <c r="I55" s="89"/>
      <c r="J55" s="89"/>
      <c r="K55" s="89"/>
      <c r="L55" s="89"/>
      <c r="M55" s="89"/>
    </row>
    <row r="57" spans="3:13" x14ac:dyDescent="0.35">
      <c r="C57" t="s">
        <v>242</v>
      </c>
      <c r="I57" s="22">
        <f>workings!H136</f>
        <v>0.15444326384953277</v>
      </c>
    </row>
    <row r="59" spans="3:13" x14ac:dyDescent="0.35">
      <c r="C59" t="s">
        <v>151</v>
      </c>
      <c r="I59" s="83">
        <f>workings!H138</f>
        <v>0.17724037692790393</v>
      </c>
    </row>
    <row r="61" spans="3:13" x14ac:dyDescent="0.35">
      <c r="C61" t="s">
        <v>64</v>
      </c>
      <c r="I61" s="22">
        <f>'Input data'!E17</f>
        <v>2.98E-2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Drop Down 1">
              <controlPr defaultSize="0" autoLine="0" autoPict="0">
                <anchor moveWithCells="1">
                  <from>
                    <xdr:col>2</xdr:col>
                    <xdr:colOff>596900</xdr:colOff>
                    <xdr:row>0</xdr:row>
                    <xdr:rowOff>0</xdr:rowOff>
                  </from>
                  <to>
                    <xdr:col>4</xdr:col>
                    <xdr:colOff>260350</xdr:colOff>
                    <xdr:row>1</xdr:row>
                    <xdr:rowOff>69850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E863A-5DB3-41ED-8865-64A16E1F5061}">
  <dimension ref="C1:M37"/>
  <sheetViews>
    <sheetView showGridLines="0" workbookViewId="0">
      <selection activeCell="M2" sqref="M2"/>
    </sheetView>
  </sheetViews>
  <sheetFormatPr defaultRowHeight="14.5" x14ac:dyDescent="0.35"/>
  <cols>
    <col min="3" max="3" width="13.1796875" customWidth="1"/>
    <col min="13" max="13" width="10.08984375" bestFit="1" customWidth="1"/>
  </cols>
  <sheetData>
    <row r="1" spans="3:13" x14ac:dyDescent="0.35">
      <c r="C1" t="s">
        <v>43</v>
      </c>
      <c r="G1" t="s">
        <v>0</v>
      </c>
      <c r="L1" t="s">
        <v>44</v>
      </c>
      <c r="M1" s="107">
        <f ca="1">+TODAY()</f>
        <v>45710</v>
      </c>
    </row>
    <row r="3" spans="3:13" x14ac:dyDescent="0.35">
      <c r="C3" s="14"/>
      <c r="D3" s="14"/>
      <c r="E3" s="14"/>
      <c r="F3" s="14"/>
      <c r="G3" s="14"/>
      <c r="H3" s="14"/>
      <c r="I3" s="14"/>
      <c r="J3" s="14"/>
      <c r="K3" s="14"/>
      <c r="L3" s="14"/>
      <c r="M3" s="14"/>
    </row>
    <row r="4" spans="3:13" ht="28.5" x14ac:dyDescent="0.65">
      <c r="C4" s="14"/>
      <c r="D4" s="14"/>
      <c r="E4" s="14"/>
      <c r="F4" s="14"/>
      <c r="G4" s="14"/>
      <c r="H4" s="68" t="s">
        <v>31</v>
      </c>
      <c r="I4" s="14"/>
      <c r="J4" s="14"/>
      <c r="K4" s="14"/>
      <c r="L4" s="14"/>
      <c r="M4" s="14"/>
    </row>
    <row r="6" spans="3:13" x14ac:dyDescent="0.35">
      <c r="H6" s="94">
        <v>2023</v>
      </c>
      <c r="I6" s="95">
        <v>1</v>
      </c>
      <c r="J6" s="96">
        <v>2</v>
      </c>
      <c r="K6" s="97">
        <v>3</v>
      </c>
      <c r="L6" s="98">
        <v>4</v>
      </c>
      <c r="M6" s="99">
        <v>5</v>
      </c>
    </row>
    <row r="7" spans="3:13" x14ac:dyDescent="0.35">
      <c r="H7" s="13"/>
      <c r="I7" s="13"/>
      <c r="J7" s="13"/>
      <c r="K7" s="13"/>
      <c r="L7" s="13"/>
      <c r="M7" s="13"/>
    </row>
    <row r="8" spans="3:13" x14ac:dyDescent="0.35">
      <c r="C8" s="12" t="s">
        <v>267</v>
      </c>
      <c r="H8" s="13"/>
      <c r="I8" s="13"/>
      <c r="J8" s="13"/>
      <c r="K8" s="13"/>
      <c r="L8" s="13"/>
      <c r="M8" s="13"/>
    </row>
    <row r="9" spans="3:13" x14ac:dyDescent="0.35">
      <c r="C9" t="s">
        <v>268</v>
      </c>
      <c r="H9" s="13"/>
      <c r="I9" s="28">
        <f>'Income Statement'!I12/'Income Statement'!I9</f>
        <v>0.50530303030303025</v>
      </c>
      <c r="J9" s="28">
        <f>'Income Statement'!J12/'Income Statement'!J9</f>
        <v>0.51503534529635675</v>
      </c>
      <c r="K9" s="28">
        <f>'Income Statement'!K12/'Income Statement'!K9</f>
        <v>0.52348188050930455</v>
      </c>
      <c r="L9" s="28">
        <f>'Income Statement'!L12/'Income Statement'!L9</f>
        <v>0.53430561030088031</v>
      </c>
      <c r="M9" s="28">
        <f>'Income Statement'!M12/'Income Statement'!M9</f>
        <v>0.54194821781028679</v>
      </c>
    </row>
    <row r="10" spans="3:13" x14ac:dyDescent="0.35">
      <c r="C10" t="s">
        <v>269</v>
      </c>
      <c r="H10" s="13"/>
      <c r="I10" s="28">
        <f>'Income Statement'!I16/'Income Statement'!I9</f>
        <v>0.14064604377104378</v>
      </c>
      <c r="J10" s="28">
        <f>'Income Statement'!J16/'Income Statement'!J9</f>
        <v>0.19867115280043501</v>
      </c>
      <c r="K10" s="28">
        <f>'Income Statement'!K16/'Income Statement'!K9</f>
        <v>0.23232227391446295</v>
      </c>
      <c r="L10" s="28">
        <f>'Income Statement'!L16/'Income Statement'!L9</f>
        <v>0.27703981080015766</v>
      </c>
      <c r="M10" s="28">
        <f>'Income Statement'!M16/'Income Statement'!M9</f>
        <v>0.3086013390611092</v>
      </c>
    </row>
    <row r="11" spans="3:13" x14ac:dyDescent="0.35">
      <c r="C11" t="s">
        <v>270</v>
      </c>
      <c r="H11" s="13"/>
      <c r="I11" s="28">
        <f>'Income Statement'!I28/'Income Statement'!I9</f>
        <v>4.8494167850378793E-2</v>
      </c>
      <c r="J11" s="28">
        <f>'Income Statement'!J28/'Income Statement'!J9</f>
        <v>9.3515111234663884E-2</v>
      </c>
      <c r="K11" s="28">
        <f>'Income Statement'!K28/'Income Statement'!K9</f>
        <v>0.1140012469568983</v>
      </c>
      <c r="L11" s="28">
        <f>'Income Statement'!L28/'Income Statement'!L9</f>
        <v>0.14703112577028918</v>
      </c>
      <c r="M11" s="28">
        <f>'Income Statement'!M28/'Income Statement'!M9</f>
        <v>0.12709851956517085</v>
      </c>
    </row>
    <row r="12" spans="3:13" x14ac:dyDescent="0.35">
      <c r="H12" s="13"/>
      <c r="I12" s="13"/>
      <c r="J12" s="13"/>
      <c r="K12" s="13"/>
      <c r="L12" s="13"/>
      <c r="M12" s="13"/>
    </row>
    <row r="13" spans="3:13" x14ac:dyDescent="0.35">
      <c r="C13" t="s">
        <v>271</v>
      </c>
      <c r="H13" s="13"/>
      <c r="I13" s="28">
        <f>'Income Statement'!I28/'Balance sheet'!I26</f>
        <v>0.11353573437948562</v>
      </c>
      <c r="J13" s="28">
        <f>'Income Statement'!J28/'Balance sheet'!J26</f>
        <v>0.20416283977044614</v>
      </c>
      <c r="K13" s="28">
        <f>'Income Statement'!K28/'Balance sheet'!K26</f>
        <v>0.22632417563521334</v>
      </c>
      <c r="L13" s="28">
        <f>'Income Statement'!L28/'Balance sheet'!L26</f>
        <v>0.26728965416302986</v>
      </c>
      <c r="M13" s="28">
        <f>'Income Statement'!M28/'Balance sheet'!M26</f>
        <v>0.21623990191618964</v>
      </c>
    </row>
    <row r="14" spans="3:13" x14ac:dyDescent="0.35">
      <c r="C14" t="s">
        <v>272</v>
      </c>
      <c r="H14" s="13"/>
      <c r="I14" s="28">
        <f>'Income Statement'!I28/'Balance sheet'!I21</f>
        <v>7.6326384745972337E-2</v>
      </c>
      <c r="J14" s="28">
        <f>'Income Statement'!J28/'Balance sheet'!J21</f>
        <v>0.13755376014461129</v>
      </c>
      <c r="K14" s="28">
        <f>'Income Statement'!K28/'Balance sheet'!K21</f>
        <v>0.15732416820967079</v>
      </c>
      <c r="L14" s="28">
        <f>'Income Statement'!L28/'Balance sheet'!L21</f>
        <v>0.18984323613773102</v>
      </c>
      <c r="M14" s="28">
        <f>'Income Statement'!M28/'Balance sheet'!M21</f>
        <v>0.16187671733367262</v>
      </c>
    </row>
    <row r="15" spans="3:13" x14ac:dyDescent="0.35">
      <c r="H15" s="13"/>
      <c r="I15" s="13"/>
      <c r="J15" s="13"/>
      <c r="K15" s="13"/>
      <c r="L15" s="13"/>
      <c r="M15" s="13"/>
    </row>
    <row r="16" spans="3:13" x14ac:dyDescent="0.35">
      <c r="C16" s="12" t="s">
        <v>273</v>
      </c>
      <c r="H16" s="13"/>
      <c r="I16" s="13"/>
      <c r="J16" s="13"/>
      <c r="K16" s="13"/>
      <c r="L16" s="13"/>
      <c r="M16" s="13"/>
    </row>
    <row r="17" spans="3:13" x14ac:dyDescent="0.35">
      <c r="C17" t="s">
        <v>276</v>
      </c>
      <c r="H17" s="13"/>
      <c r="I17" s="81">
        <f>'Balance sheet'!I19/'Balance sheet'!I39</f>
        <v>8.2116389703134445</v>
      </c>
      <c r="J17" s="81">
        <f>'Balance sheet'!J19/'Balance sheet'!J39</f>
        <v>5.8573189000531123</v>
      </c>
      <c r="K17" s="81">
        <f>'Balance sheet'!K19/'Balance sheet'!K39</f>
        <v>5.2865867200837435</v>
      </c>
      <c r="L17" s="81">
        <f>'Balance sheet'!L19/'Balance sheet'!L39</f>
        <v>4.92483076048521</v>
      </c>
      <c r="M17" s="81">
        <f>'Balance sheet'!M19/'Balance sheet'!M39</f>
        <v>3.6303562668972704</v>
      </c>
    </row>
    <row r="18" spans="3:13" x14ac:dyDescent="0.35">
      <c r="C18" t="s">
        <v>278</v>
      </c>
      <c r="H18" s="13"/>
      <c r="I18" s="81">
        <f>('Balance sheet'!I19-'Balance sheet'!I16)/'Balance sheet'!I39</f>
        <v>5.8611185709829989</v>
      </c>
      <c r="J18" s="81">
        <f>('Balance sheet'!J19-'Balance sheet'!J16)/'Balance sheet'!J39</f>
        <v>4.5287938965984953</v>
      </c>
      <c r="K18" s="81">
        <f>('Balance sheet'!K19-'Balance sheet'!K16)/'Balance sheet'!K39</f>
        <v>4.2133045333224137</v>
      </c>
      <c r="L18" s="81">
        <f>('Balance sheet'!L19-'Balance sheet'!L16)/'Balance sheet'!L39</f>
        <v>4.0698160575068139</v>
      </c>
      <c r="M18" s="81">
        <f>('Balance sheet'!M19-'Balance sheet'!M16)/'Balance sheet'!M39</f>
        <v>3.0502207843580433</v>
      </c>
    </row>
    <row r="19" spans="3:13" x14ac:dyDescent="0.35">
      <c r="C19" t="s">
        <v>42</v>
      </c>
      <c r="H19" s="13"/>
      <c r="I19" s="81">
        <f>'Balance sheet'!I18/'Balance sheet'!I39</f>
        <v>5.5443562507056949</v>
      </c>
      <c r="J19" s="81">
        <f>'Balance sheet'!J18/'Balance sheet'!J39</f>
        <v>4.3461654664549334</v>
      </c>
      <c r="K19" s="81">
        <f>'Balance sheet'!K18/'Balance sheet'!K39</f>
        <v>4.0631483422827861</v>
      </c>
      <c r="L19" s="81">
        <f>'Balance sheet'!L18/'Balance sheet'!L39</f>
        <v>3.9474160856381655</v>
      </c>
      <c r="M19" s="81">
        <f>'Balance sheet'!M18/'Balance sheet'!M39</f>
        <v>2.9657855734500984</v>
      </c>
    </row>
    <row r="20" spans="3:13" x14ac:dyDescent="0.35">
      <c r="H20" s="13"/>
      <c r="I20" s="13"/>
      <c r="J20" s="13"/>
      <c r="K20" s="13"/>
      <c r="L20" s="13"/>
      <c r="M20" s="13"/>
    </row>
    <row r="21" spans="3:13" x14ac:dyDescent="0.35">
      <c r="C21" s="12" t="s">
        <v>274</v>
      </c>
      <c r="H21" s="13"/>
      <c r="I21" s="13"/>
      <c r="J21" s="13"/>
      <c r="K21" s="13"/>
      <c r="L21" s="13"/>
      <c r="M21" s="13"/>
    </row>
    <row r="22" spans="3:13" x14ac:dyDescent="0.35">
      <c r="C22" t="s">
        <v>275</v>
      </c>
      <c r="H22" s="13"/>
      <c r="I22" s="28">
        <f>('Balance sheet'!I30+'Balance sheet'!I35)/'Balance sheet'!I26</f>
        <v>0.38964489106989064</v>
      </c>
      <c r="J22" s="28">
        <f>('Balance sheet'!J30+'Balance sheet'!J35)/'Balance sheet'!J26</f>
        <v>0.32600408509959056</v>
      </c>
      <c r="K22" s="28">
        <f>('Balance sheet'!K30+'Balance sheet'!K35)/'Balance sheet'!K26</f>
        <v>0.26697800044848918</v>
      </c>
      <c r="L22" s="28">
        <f>('Balance sheet'!L30+'Balance sheet'!L35)/'Balance sheet'!L26</f>
        <v>0.20988963452127804</v>
      </c>
      <c r="M22" s="28">
        <f>('Balance sheet'!M30+'Balance sheet'!M35)/'Balance sheet'!M26</f>
        <v>0.1735804233355932</v>
      </c>
    </row>
    <row r="23" spans="3:13" x14ac:dyDescent="0.35">
      <c r="C23" t="s">
        <v>38</v>
      </c>
      <c r="H23" s="13"/>
      <c r="I23" s="28">
        <f>'Balance sheet'!I26/'Balance sheet'!I21</f>
        <v>0.67226750382268619</v>
      </c>
      <c r="J23" s="28">
        <f>'Balance sheet'!J26/'Balance sheet'!J21</f>
        <v>0.6737453314191364</v>
      </c>
      <c r="K23" s="28">
        <f>'Balance sheet'!K26/'Balance sheet'!K21</f>
        <v>0.69512754334845805</v>
      </c>
      <c r="L23" s="28">
        <f>'Balance sheet'!L26/'Balance sheet'!L21</f>
        <v>0.71025284062038041</v>
      </c>
      <c r="M23" s="28">
        <f>'Balance sheet'!M26/'Balance sheet'!M21</f>
        <v>0.74859781150110249</v>
      </c>
    </row>
    <row r="24" spans="3:13" x14ac:dyDescent="0.35">
      <c r="C24" t="s">
        <v>39</v>
      </c>
      <c r="H24" s="13"/>
      <c r="I24" s="28">
        <f>('Balance sheet'!I30+'Balance sheet'!I35)/'Balance sheet'!I21</f>
        <v>0.26194559829681785</v>
      </c>
      <c r="J24" s="28">
        <f>('Balance sheet'!J30+'Balance sheet'!J35)/'Balance sheet'!J21</f>
        <v>0.21964373035941601</v>
      </c>
      <c r="K24" s="28">
        <f>('Balance sheet'!K30+'Balance sheet'!K35)/'Balance sheet'!K21</f>
        <v>0.1855837615798418</v>
      </c>
      <c r="L24" s="28">
        <f>('Balance sheet'!L30+'Balance sheet'!L35)/'Balance sheet'!L21</f>
        <v>0.14907470913551119</v>
      </c>
      <c r="M24" s="28">
        <f>('Balance sheet'!M30+'Balance sheet'!M35)/'Balance sheet'!M21</f>
        <v>0.12994192502845997</v>
      </c>
    </row>
    <row r="25" spans="3:13" x14ac:dyDescent="0.35">
      <c r="C25" t="s">
        <v>277</v>
      </c>
      <c r="H25" s="13"/>
      <c r="I25" s="81">
        <f>'Income Statement'!I20/-'Income Statement'!I22</f>
        <v>3.6162296914764154</v>
      </c>
      <c r="J25" s="81">
        <f>'Income Statement'!J20/-'Income Statement'!J22</f>
        <v>7.0138740419581964</v>
      </c>
      <c r="K25" s="81">
        <f>'Income Statement'!K20/-'Income Statement'!K22</f>
        <v>9.7065186033745796</v>
      </c>
      <c r="L25" s="81">
        <f>'Income Statement'!L20/-'Income Statement'!L22</f>
        <v>14.988418217137264</v>
      </c>
      <c r="M25" s="81">
        <f>'Income Statement'!M20/-'Income Statement'!M22</f>
        <v>3.195291475553637</v>
      </c>
    </row>
    <row r="26" spans="3:13" x14ac:dyDescent="0.35">
      <c r="H26" s="13"/>
      <c r="I26" s="13"/>
      <c r="J26" s="13"/>
      <c r="K26" s="13"/>
      <c r="L26" s="13"/>
      <c r="M26" s="13"/>
    </row>
    <row r="27" spans="3:13" x14ac:dyDescent="0.35">
      <c r="C27" s="12" t="s">
        <v>279</v>
      </c>
      <c r="H27" s="13"/>
      <c r="I27" s="13"/>
      <c r="J27" s="13"/>
      <c r="K27" s="13"/>
      <c r="L27" s="13"/>
      <c r="M27" s="13"/>
    </row>
    <row r="28" spans="3:13" x14ac:dyDescent="0.35">
      <c r="C28" t="s">
        <v>280</v>
      </c>
      <c r="H28" s="13"/>
      <c r="I28" s="81">
        <f>workings!$J$16/(('Balance sheet'!I17+'Balance sheet'!H17)/2)</f>
        <v>24</v>
      </c>
      <c r="J28" s="81">
        <f>workings!$J$16/(('Balance sheet'!J17+'Balance sheet'!I17)/2)</f>
        <v>11.349957007738608</v>
      </c>
      <c r="K28" s="81">
        <f>workings!$J$16/(('Balance sheet'!K17+'Balance sheet'!J17)/2)</f>
        <v>10.2035557845916</v>
      </c>
      <c r="L28" s="81">
        <f>workings!$J$16/(('Balance sheet'!L17+'Balance sheet'!K17)/2)</f>
        <v>8.9583892997016701</v>
      </c>
      <c r="M28" s="81">
        <f>workings!$J$16/(('Balance sheet'!M17+'Balance sheet'!L17)/2)</f>
        <v>7.8106508875739644</v>
      </c>
    </row>
    <row r="29" spans="3:13" x14ac:dyDescent="0.35">
      <c r="C29" t="s">
        <v>281</v>
      </c>
      <c r="H29" s="13"/>
      <c r="I29" s="81">
        <f>365/I28</f>
        <v>15.208333333333334</v>
      </c>
      <c r="J29" s="81">
        <f t="shared" ref="J29:M29" si="0">365/J28</f>
        <v>32.158712121212119</v>
      </c>
      <c r="K29" s="81">
        <f t="shared" si="0"/>
        <v>35.771843434343431</v>
      </c>
      <c r="L29" s="81">
        <f t="shared" si="0"/>
        <v>40.74393150252525</v>
      </c>
      <c r="M29" s="81">
        <f t="shared" si="0"/>
        <v>46.731060606060609</v>
      </c>
    </row>
    <row r="30" spans="3:13" x14ac:dyDescent="0.35">
      <c r="H30" s="13"/>
      <c r="I30" s="13"/>
      <c r="J30" s="13"/>
      <c r="K30" s="13"/>
      <c r="L30" s="13"/>
      <c r="M30" s="13"/>
    </row>
    <row r="31" spans="3:13" x14ac:dyDescent="0.35">
      <c r="C31" t="s">
        <v>282</v>
      </c>
      <c r="H31" s="13"/>
      <c r="I31" s="38">
        <f>-'Income Statement'!I10/(('Balance sheet'!I16+'Balance sheet'!H16)/2)</f>
        <v>8</v>
      </c>
      <c r="J31" s="38">
        <f>-'Income Statement'!J10/(('Balance sheet'!J16+'Balance sheet'!I16)/2)</f>
        <v>4.1770388150576663</v>
      </c>
      <c r="K31" s="38">
        <f>-'Income Statement'!K10/(('Balance sheet'!K16+'Balance sheet'!J16)/2)</f>
        <v>4.1741648345755804</v>
      </c>
      <c r="L31" s="38">
        <f>-'Income Statement'!L10/(('Balance sheet'!L16+'Balance sheet'!K16)/2)</f>
        <v>4.25871411921612</v>
      </c>
      <c r="M31" s="38">
        <f>-'Income Statement'!M10/(('Balance sheet'!M16+'Balance sheet'!L16)/2)</f>
        <v>4.2140568254646444</v>
      </c>
    </row>
    <row r="32" spans="3:13" x14ac:dyDescent="0.35">
      <c r="C32" t="s">
        <v>283</v>
      </c>
      <c r="H32" s="13"/>
      <c r="I32" s="38">
        <f>365/I31</f>
        <v>45.625</v>
      </c>
      <c r="J32" s="38">
        <f t="shared" ref="J32:M32" si="1">365/J31</f>
        <v>87.382477434546175</v>
      </c>
      <c r="K32" s="38">
        <f t="shared" si="1"/>
        <v>87.442641693643694</v>
      </c>
      <c r="L32" s="38">
        <f t="shared" si="1"/>
        <v>85.706621713124932</v>
      </c>
      <c r="M32" s="38">
        <f t="shared" si="1"/>
        <v>86.614873770658008</v>
      </c>
    </row>
    <row r="33" spans="3:13" x14ac:dyDescent="0.35">
      <c r="H33" s="13"/>
      <c r="I33" s="13"/>
      <c r="J33" s="13"/>
      <c r="K33" s="13"/>
      <c r="L33" s="13"/>
      <c r="M33" s="13"/>
    </row>
    <row r="34" spans="3:13" x14ac:dyDescent="0.35">
      <c r="C34" t="s">
        <v>284</v>
      </c>
      <c r="H34" s="13"/>
      <c r="I34" s="38">
        <f>workings!$J$28/(('Balance sheet'!I36+'Balance sheet'!H36)/2)</f>
        <v>24</v>
      </c>
      <c r="J34" s="38">
        <f>workings!$J$28/(('Balance sheet'!J36+'Balance sheet'!I36)/2)</f>
        <v>11.349957007738604</v>
      </c>
      <c r="K34" s="38">
        <f>workings!$J$28/(('Balance sheet'!K36+'Balance sheet'!J36)/2)</f>
        <v>10.203555784591599</v>
      </c>
      <c r="L34" s="38">
        <f>workings!$J$28/(('Balance sheet'!L36+'Balance sheet'!K36)/2)</f>
        <v>8.9583892997016683</v>
      </c>
      <c r="M34" s="38">
        <f>workings!$J$28/(('Balance sheet'!M36+'Balance sheet'!L36)/2)</f>
        <v>7.8106508875739626</v>
      </c>
    </row>
    <row r="35" spans="3:13" x14ac:dyDescent="0.35">
      <c r="C35" t="s">
        <v>285</v>
      </c>
      <c r="H35" s="13"/>
      <c r="I35" s="38">
        <f>365/I34</f>
        <v>15.208333333333334</v>
      </c>
      <c r="J35" s="38">
        <f t="shared" ref="J35:M35" si="2">365/J34</f>
        <v>32.158712121212126</v>
      </c>
      <c r="K35" s="38">
        <f t="shared" si="2"/>
        <v>35.771843434343438</v>
      </c>
      <c r="L35" s="38">
        <f t="shared" si="2"/>
        <v>40.743931502525257</v>
      </c>
      <c r="M35" s="38">
        <f t="shared" si="2"/>
        <v>46.731060606060616</v>
      </c>
    </row>
    <row r="36" spans="3:13" x14ac:dyDescent="0.35">
      <c r="H36" s="13"/>
      <c r="I36" s="13"/>
      <c r="J36" s="13"/>
      <c r="K36" s="13"/>
      <c r="L36" s="13"/>
      <c r="M36" s="13"/>
    </row>
    <row r="37" spans="3:13" x14ac:dyDescent="0.35">
      <c r="C37" t="s">
        <v>286</v>
      </c>
      <c r="H37" s="13"/>
      <c r="I37" s="100">
        <f>I29+I32-I35</f>
        <v>45.625</v>
      </c>
      <c r="J37" s="100">
        <f t="shared" ref="J37:M37" si="3">J29+J32-J35</f>
        <v>87.382477434546161</v>
      </c>
      <c r="K37" s="100">
        <f t="shared" si="3"/>
        <v>87.442641693643694</v>
      </c>
      <c r="L37" s="100">
        <f t="shared" si="3"/>
        <v>85.706621713124932</v>
      </c>
      <c r="M37" s="100">
        <f t="shared" si="3"/>
        <v>86.614873770657994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Drop Down 1">
              <controlPr defaultSize="0" autoLine="0" autoPict="0">
                <anchor moveWithCells="1">
                  <from>
                    <xdr:col>3</xdr:col>
                    <xdr:colOff>0</xdr:colOff>
                    <xdr:row>0</xdr:row>
                    <xdr:rowOff>25400</xdr:rowOff>
                  </from>
                  <to>
                    <xdr:col>4</xdr:col>
                    <xdr:colOff>603250</xdr:colOff>
                    <xdr:row>1</xdr:row>
                    <xdr:rowOff>95250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74A2-2B12-4D5B-95EE-FB90795511BD}">
  <dimension ref="B1:M26"/>
  <sheetViews>
    <sheetView showGridLines="0" workbookViewId="0">
      <selection activeCell="M2" sqref="M2"/>
    </sheetView>
  </sheetViews>
  <sheetFormatPr defaultRowHeight="14.5" x14ac:dyDescent="0.35"/>
  <cols>
    <col min="4" max="4" width="10.90625" bestFit="1" customWidth="1"/>
    <col min="5" max="5" width="14.54296875" customWidth="1"/>
    <col min="6" max="6" width="13" customWidth="1"/>
    <col min="7" max="7" width="16.1796875" customWidth="1"/>
    <col min="8" max="8" width="15.6328125" customWidth="1"/>
    <col min="9" max="9" width="15.90625" customWidth="1"/>
    <col min="10" max="10" width="11.7265625" customWidth="1"/>
    <col min="11" max="12" width="11.1796875" customWidth="1"/>
    <col min="13" max="13" width="10.08984375" bestFit="1" customWidth="1"/>
  </cols>
  <sheetData>
    <row r="1" spans="2:13" x14ac:dyDescent="0.35">
      <c r="C1" t="s">
        <v>43</v>
      </c>
      <c r="G1" t="s">
        <v>0</v>
      </c>
      <c r="L1" t="s">
        <v>44</v>
      </c>
      <c r="M1" s="107">
        <f ca="1">TODAY()</f>
        <v>45710</v>
      </c>
    </row>
    <row r="3" spans="2:13" x14ac:dyDescent="0.35">
      <c r="C3" s="14"/>
      <c r="D3" s="14"/>
      <c r="E3" s="14"/>
      <c r="F3" s="14"/>
      <c r="G3" s="14"/>
      <c r="H3" s="14"/>
      <c r="I3" s="14"/>
      <c r="J3" s="14"/>
      <c r="K3" s="14"/>
      <c r="L3" s="14"/>
      <c r="M3" s="14"/>
    </row>
    <row r="4" spans="2:13" ht="28.5" x14ac:dyDescent="0.65">
      <c r="C4" s="14"/>
      <c r="D4" s="14"/>
      <c r="E4" s="14"/>
      <c r="F4" s="14"/>
      <c r="G4" s="68" t="s">
        <v>287</v>
      </c>
      <c r="H4" s="14"/>
      <c r="I4" s="14"/>
      <c r="J4" s="14"/>
      <c r="K4" s="14"/>
      <c r="L4" s="14"/>
      <c r="M4" s="14"/>
    </row>
    <row r="6" spans="2:13" x14ac:dyDescent="0.35">
      <c r="C6" t="s">
        <v>288</v>
      </c>
      <c r="D6" t="s">
        <v>8</v>
      </c>
      <c r="E6" t="s">
        <v>289</v>
      </c>
      <c r="F6" t="s">
        <v>10</v>
      </c>
      <c r="G6" t="s">
        <v>290</v>
      </c>
      <c r="H6" t="s">
        <v>144</v>
      </c>
      <c r="I6" t="s">
        <v>291</v>
      </c>
      <c r="J6" t="s">
        <v>14</v>
      </c>
      <c r="K6" t="s">
        <v>268</v>
      </c>
      <c r="L6" t="s">
        <v>270</v>
      </c>
      <c r="M6" t="s">
        <v>271</v>
      </c>
    </row>
    <row r="7" spans="2:13" x14ac:dyDescent="0.35">
      <c r="B7">
        <v>-1</v>
      </c>
      <c r="C7">
        <v>2024</v>
      </c>
      <c r="D7" s="59">
        <f>'Income Statement'!I9</f>
        <v>380160000</v>
      </c>
      <c r="E7" s="59">
        <f>((('Income Statement'!I10)*-1)*-1)*-1</f>
        <v>188064000</v>
      </c>
      <c r="F7" s="59">
        <f>'Income Statement'!I12</f>
        <v>192096000</v>
      </c>
      <c r="I7" s="59">
        <f>'Income Statement'!I16</f>
        <v>53468000</v>
      </c>
      <c r="J7" s="59">
        <f>'Income Statement'!I28</f>
        <v>18435542.850000001</v>
      </c>
      <c r="K7" s="24">
        <f>'Financial ratio'!I9</f>
        <v>0.50530303030303025</v>
      </c>
      <c r="L7" s="24">
        <f>'Financial ratio'!I11</f>
        <v>4.8494167850378793E-2</v>
      </c>
      <c r="M7" s="24">
        <f>'Financial ratio'!I13</f>
        <v>0.11353573437948562</v>
      </c>
    </row>
    <row r="8" spans="2:13" x14ac:dyDescent="0.35">
      <c r="C8">
        <v>2025</v>
      </c>
      <c r="D8" s="59">
        <f>'Income Statement'!J9</f>
        <v>423705600</v>
      </c>
      <c r="E8" s="59">
        <f>((('Income Statement'!J10)*-1)*-1)*-1</f>
        <v>205482240</v>
      </c>
      <c r="F8" s="59">
        <f>'Income Statement'!J12</f>
        <v>218223360</v>
      </c>
      <c r="I8" s="59">
        <f>'Income Statement'!J16</f>
        <v>84178080</v>
      </c>
      <c r="J8" s="59">
        <f>'Income Statement'!J28</f>
        <v>39622876.314750001</v>
      </c>
      <c r="K8" s="24">
        <f>'Financial ratio'!J9</f>
        <v>0.51503534529635675</v>
      </c>
      <c r="L8" s="24">
        <f>'Financial ratio'!J11</f>
        <v>9.3515111234663884E-2</v>
      </c>
      <c r="M8" s="24">
        <f>'Financial ratio'!J13</f>
        <v>0.20416283977044614</v>
      </c>
    </row>
    <row r="9" spans="2:13" x14ac:dyDescent="0.35">
      <c r="C9">
        <v>2026</v>
      </c>
      <c r="D9" s="59">
        <f>'Income Statement'!K9</f>
        <v>470476800</v>
      </c>
      <c r="E9" s="59">
        <f>((('Income Statement'!K10)*-1)*-1)*-1</f>
        <v>224190720</v>
      </c>
      <c r="F9" s="59">
        <f>'Income Statement'!K12</f>
        <v>246286080</v>
      </c>
      <c r="I9" s="59">
        <f>'Income Statement'!K16</f>
        <v>109302240</v>
      </c>
      <c r="J9" s="59">
        <f>'Income Statement'!K28</f>
        <v>53634941.864291251</v>
      </c>
      <c r="K9" s="24">
        <f>'Financial ratio'!K9</f>
        <v>0.52348188050930455</v>
      </c>
      <c r="L9" s="24">
        <f>'Financial ratio'!K11</f>
        <v>0.1140012469568983</v>
      </c>
      <c r="M9" s="24">
        <f>'Financial ratio'!K13</f>
        <v>0.22632417563521334</v>
      </c>
    </row>
    <row r="10" spans="2:13" x14ac:dyDescent="0.35">
      <c r="C10">
        <v>2027</v>
      </c>
      <c r="D10" s="59">
        <f>'Income Statement'!L9</f>
        <v>547992000</v>
      </c>
      <c r="E10" s="59">
        <f>((('Income Statement'!L10)*-1)*-1)*-1</f>
        <v>255196800</v>
      </c>
      <c r="F10" s="59">
        <f>'Income Statement'!L12</f>
        <v>292795200</v>
      </c>
      <c r="I10" s="59">
        <f>'Income Statement'!L16</f>
        <v>151815600</v>
      </c>
      <c r="J10" s="59">
        <f>'Income Statement'!L28</f>
        <v>80571880.673112303</v>
      </c>
      <c r="K10" s="24">
        <f>'Financial ratio'!L9</f>
        <v>0.53430561030088031</v>
      </c>
      <c r="L10" s="24">
        <f>'Financial ratio'!L11</f>
        <v>0.14703112577028918</v>
      </c>
      <c r="M10" s="24">
        <f>'Financial ratio'!L13</f>
        <v>0.26728965416302986</v>
      </c>
    </row>
    <row r="11" spans="2:13" x14ac:dyDescent="0.35">
      <c r="C11">
        <v>2028</v>
      </c>
      <c r="D11" s="59">
        <f>'Income Statement'!M9</f>
        <v>620136000</v>
      </c>
      <c r="E11" s="59">
        <f>((('Income Statement'!M10)*-1)*-1)*-1</f>
        <v>284054400</v>
      </c>
      <c r="F11" s="59">
        <f>'Income Statement'!M12</f>
        <v>336081600</v>
      </c>
      <c r="I11" s="59">
        <f>'Income Statement'!M16</f>
        <v>191374800</v>
      </c>
      <c r="J11" s="59">
        <f>'Income Statement'!M28</f>
        <v>78818367.529066786</v>
      </c>
      <c r="K11" s="24">
        <f>'Financial ratio'!M9</f>
        <v>0.54194821781028679</v>
      </c>
      <c r="L11" s="24">
        <f>'Financial ratio'!M11</f>
        <v>0.12709851956517085</v>
      </c>
      <c r="M11" s="24">
        <f>'Financial ratio'!M13</f>
        <v>0.21623990191618964</v>
      </c>
    </row>
    <row r="12" spans="2:13" x14ac:dyDescent="0.35">
      <c r="C12">
        <v>2024</v>
      </c>
      <c r="G12" t="s">
        <v>292</v>
      </c>
      <c r="H12" s="27">
        <f>workings!$J$39</f>
        <v>96600000</v>
      </c>
    </row>
    <row r="13" spans="2:13" x14ac:dyDescent="0.35">
      <c r="C13">
        <v>2024</v>
      </c>
      <c r="G13" t="s">
        <v>293</v>
      </c>
      <c r="H13" s="27">
        <f>('Income Statement'!I18)*-1</f>
        <v>15716666.666666666</v>
      </c>
    </row>
    <row r="14" spans="2:13" x14ac:dyDescent="0.35">
      <c r="C14">
        <v>2024</v>
      </c>
      <c r="G14" t="s">
        <v>294</v>
      </c>
      <c r="H14" s="27">
        <f>SUM(workings!$J$40:$J$49)</f>
        <v>42028000</v>
      </c>
    </row>
    <row r="15" spans="2:13" x14ac:dyDescent="0.35">
      <c r="C15">
        <v>2025</v>
      </c>
      <c r="G15" t="s">
        <v>292</v>
      </c>
      <c r="H15" s="27">
        <f>workings!$K$39</f>
        <v>96600000</v>
      </c>
    </row>
    <row r="16" spans="2:13" x14ac:dyDescent="0.35">
      <c r="C16">
        <v>2025</v>
      </c>
      <c r="G16" t="s">
        <v>293</v>
      </c>
      <c r="H16" s="27">
        <f>('Income Statement'!J18)*-1</f>
        <v>15716666.666666666</v>
      </c>
    </row>
    <row r="17" spans="3:8" x14ac:dyDescent="0.35">
      <c r="C17">
        <v>2025</v>
      </c>
      <c r="G17" t="s">
        <v>294</v>
      </c>
      <c r="H17" s="27">
        <f>SUM(workings!$K$40:$K$49)</f>
        <v>37445280</v>
      </c>
    </row>
    <row r="18" spans="3:8" x14ac:dyDescent="0.35">
      <c r="C18">
        <v>2026</v>
      </c>
      <c r="G18" t="s">
        <v>292</v>
      </c>
      <c r="H18" s="27">
        <f>workings!$L$39</f>
        <v>96600000</v>
      </c>
    </row>
    <row r="19" spans="3:8" x14ac:dyDescent="0.35">
      <c r="C19">
        <v>2026</v>
      </c>
      <c r="G19" t="s">
        <v>293</v>
      </c>
      <c r="H19" s="27">
        <f>('Income Statement'!K18)*-1</f>
        <v>20716666.666666668</v>
      </c>
    </row>
    <row r="20" spans="3:8" x14ac:dyDescent="0.35">
      <c r="C20">
        <v>2026</v>
      </c>
      <c r="G20" t="s">
        <v>294</v>
      </c>
      <c r="H20" s="27">
        <f>SUM(workings!$L$40:$L$49)</f>
        <v>40383840</v>
      </c>
    </row>
    <row r="21" spans="3:8" x14ac:dyDescent="0.35">
      <c r="C21">
        <v>2027</v>
      </c>
      <c r="G21" t="s">
        <v>292</v>
      </c>
      <c r="H21" s="27">
        <f>workings!$M$39</f>
        <v>96600000</v>
      </c>
    </row>
    <row r="22" spans="3:8" x14ac:dyDescent="0.35">
      <c r="C22">
        <v>2027</v>
      </c>
      <c r="G22" t="s">
        <v>293</v>
      </c>
      <c r="H22" s="27">
        <f>('Income Statement'!L18)*-1</f>
        <v>23916666.666666668</v>
      </c>
    </row>
    <row r="23" spans="3:8" x14ac:dyDescent="0.35">
      <c r="C23">
        <v>2027</v>
      </c>
      <c r="G23" t="s">
        <v>294</v>
      </c>
      <c r="H23" s="27">
        <f>SUM(workings!$M$40:$M$49)</f>
        <v>44379600</v>
      </c>
    </row>
    <row r="24" spans="3:8" x14ac:dyDescent="0.35">
      <c r="C24">
        <v>2028</v>
      </c>
      <c r="G24" t="s">
        <v>292</v>
      </c>
      <c r="H24" s="27">
        <f>workings!$N$39</f>
        <v>96600000</v>
      </c>
    </row>
    <row r="25" spans="3:8" x14ac:dyDescent="0.35">
      <c r="C25">
        <v>2028</v>
      </c>
      <c r="G25" t="s">
        <v>293</v>
      </c>
      <c r="H25" s="27">
        <f>('Income Statement'!M18)*-1</f>
        <v>21416666.666666668</v>
      </c>
    </row>
    <row r="26" spans="3:8" x14ac:dyDescent="0.35">
      <c r="C26">
        <v>2028</v>
      </c>
      <c r="G26" t="s">
        <v>294</v>
      </c>
      <c r="H26" s="27">
        <f>SUM(workings!$N$40:$N$49)</f>
        <v>48106800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7A1E3-503E-44AF-9475-86143A74C9B3}">
  <dimension ref="A1:H47"/>
  <sheetViews>
    <sheetView workbookViewId="0">
      <selection activeCell="A14" sqref="A14"/>
    </sheetView>
  </sheetViews>
  <sheetFormatPr defaultRowHeight="14.5" x14ac:dyDescent="0.35"/>
  <cols>
    <col min="1" max="1" width="12.453125" bestFit="1" customWidth="1"/>
    <col min="2" max="2" width="14.36328125" bestFit="1" customWidth="1"/>
    <col min="3" max="3" width="13.81640625" bestFit="1" customWidth="1"/>
    <col min="4" max="4" width="16.7265625" bestFit="1" customWidth="1"/>
    <col min="5" max="5" width="14.90625" bestFit="1" customWidth="1"/>
    <col min="6" max="6" width="15.6328125" customWidth="1"/>
    <col min="7" max="7" width="15.453125" customWidth="1"/>
    <col min="8" max="8" width="11.26953125" customWidth="1"/>
  </cols>
  <sheetData>
    <row r="1" spans="1:5" x14ac:dyDescent="0.35">
      <c r="A1" s="103" t="s">
        <v>298</v>
      </c>
      <c r="B1" t="s">
        <v>295</v>
      </c>
      <c r="C1" t="s">
        <v>296</v>
      </c>
      <c r="D1" t="s">
        <v>297</v>
      </c>
      <c r="E1" t="s">
        <v>300</v>
      </c>
    </row>
    <row r="2" spans="1:5" x14ac:dyDescent="0.35">
      <c r="A2" s="104">
        <v>2024</v>
      </c>
      <c r="B2" s="42">
        <v>380160000</v>
      </c>
      <c r="C2" s="42">
        <v>188064000</v>
      </c>
      <c r="D2" s="42">
        <v>192096000</v>
      </c>
      <c r="E2" s="42">
        <v>18435542.850000001</v>
      </c>
    </row>
    <row r="3" spans="1:5" x14ac:dyDescent="0.35">
      <c r="A3" s="104">
        <v>2025</v>
      </c>
      <c r="B3" s="42">
        <v>423705600</v>
      </c>
      <c r="C3" s="42">
        <v>205482240</v>
      </c>
      <c r="D3" s="42">
        <v>218223360</v>
      </c>
      <c r="E3" s="42">
        <v>39622876.314750001</v>
      </c>
    </row>
    <row r="4" spans="1:5" x14ac:dyDescent="0.35">
      <c r="A4" s="104">
        <v>2026</v>
      </c>
      <c r="B4" s="42">
        <v>470476800</v>
      </c>
      <c r="C4" s="42">
        <v>224190720</v>
      </c>
      <c r="D4" s="42">
        <v>246286080</v>
      </c>
      <c r="E4" s="42">
        <v>53634941.864291251</v>
      </c>
    </row>
    <row r="5" spans="1:5" x14ac:dyDescent="0.35">
      <c r="A5" s="104">
        <v>2027</v>
      </c>
      <c r="B5" s="42">
        <v>547992000</v>
      </c>
      <c r="C5" s="42">
        <v>255196800</v>
      </c>
      <c r="D5" s="42">
        <v>292795200</v>
      </c>
      <c r="E5" s="42">
        <v>80571880.673112303</v>
      </c>
    </row>
    <row r="6" spans="1:5" x14ac:dyDescent="0.35">
      <c r="A6" s="104">
        <v>2028</v>
      </c>
      <c r="B6" s="42">
        <v>620136000</v>
      </c>
      <c r="C6" s="42">
        <v>284054400</v>
      </c>
      <c r="D6" s="42">
        <v>336081600</v>
      </c>
      <c r="E6" s="42">
        <v>78818367.529066786</v>
      </c>
    </row>
    <row r="7" spans="1:5" x14ac:dyDescent="0.35">
      <c r="A7" s="104" t="s">
        <v>299</v>
      </c>
      <c r="B7" s="42">
        <v>2442470400</v>
      </c>
      <c r="C7" s="42">
        <v>1156988160</v>
      </c>
      <c r="D7" s="42">
        <v>1285482240</v>
      </c>
      <c r="E7" s="42">
        <v>271083609.23122036</v>
      </c>
    </row>
    <row r="10" spans="1:5" x14ac:dyDescent="0.35">
      <c r="A10" s="103" t="s">
        <v>302</v>
      </c>
      <c r="B10" s="103" t="s">
        <v>301</v>
      </c>
    </row>
    <row r="11" spans="1:5" x14ac:dyDescent="0.35">
      <c r="A11" s="103" t="s">
        <v>298</v>
      </c>
      <c r="B11" t="s">
        <v>293</v>
      </c>
      <c r="C11" t="s">
        <v>292</v>
      </c>
      <c r="D11" t="s">
        <v>294</v>
      </c>
    </row>
    <row r="12" spans="1:5" x14ac:dyDescent="0.35">
      <c r="A12" s="104">
        <v>2024</v>
      </c>
      <c r="B12" s="42">
        <v>15716666.666666666</v>
      </c>
      <c r="C12" s="42">
        <v>96600000</v>
      </c>
      <c r="D12" s="42">
        <v>42028000</v>
      </c>
    </row>
    <row r="13" spans="1:5" x14ac:dyDescent="0.35">
      <c r="A13" s="104">
        <v>2025</v>
      </c>
      <c r="B13" s="42">
        <v>15716666.666666666</v>
      </c>
      <c r="C13" s="42">
        <v>96600000</v>
      </c>
      <c r="D13" s="42">
        <v>37445280</v>
      </c>
    </row>
    <row r="14" spans="1:5" x14ac:dyDescent="0.35">
      <c r="A14" s="104">
        <v>2026</v>
      </c>
      <c r="B14" s="42">
        <v>20716666.666666668</v>
      </c>
      <c r="C14" s="42">
        <v>96600000</v>
      </c>
      <c r="D14" s="42">
        <v>40383840</v>
      </c>
    </row>
    <row r="15" spans="1:5" x14ac:dyDescent="0.35">
      <c r="A15" s="104">
        <v>2027</v>
      </c>
      <c r="B15" s="42">
        <v>23916666.666666668</v>
      </c>
      <c r="C15" s="42">
        <v>96600000</v>
      </c>
      <c r="D15" s="42">
        <v>44379600</v>
      </c>
    </row>
    <row r="16" spans="1:5" x14ac:dyDescent="0.35">
      <c r="A16" s="104">
        <v>2028</v>
      </c>
      <c r="B16" s="42">
        <v>21416666.666666668</v>
      </c>
      <c r="C16" s="42">
        <v>96600000</v>
      </c>
      <c r="D16" s="42">
        <v>48106800</v>
      </c>
    </row>
    <row r="17" spans="1:4" x14ac:dyDescent="0.35">
      <c r="A17" s="104" t="s">
        <v>299</v>
      </c>
      <c r="B17" s="42">
        <v>97483333.333333343</v>
      </c>
      <c r="C17" s="42">
        <v>483000000</v>
      </c>
      <c r="D17" s="42">
        <v>212343520</v>
      </c>
    </row>
    <row r="20" spans="1:4" x14ac:dyDescent="0.35">
      <c r="A20" s="103" t="s">
        <v>298</v>
      </c>
      <c r="B20" t="s">
        <v>302</v>
      </c>
    </row>
    <row r="21" spans="1:4" x14ac:dyDescent="0.35">
      <c r="A21" s="104" t="s">
        <v>293</v>
      </c>
      <c r="B21" s="42">
        <v>97483333.333333343</v>
      </c>
    </row>
    <row r="22" spans="1:4" x14ac:dyDescent="0.35">
      <c r="A22" s="104" t="s">
        <v>292</v>
      </c>
      <c r="B22" s="42">
        <v>483000000</v>
      </c>
    </row>
    <row r="23" spans="1:4" x14ac:dyDescent="0.35">
      <c r="A23" s="104" t="s">
        <v>294</v>
      </c>
      <c r="B23" s="42">
        <v>212343520</v>
      </c>
    </row>
    <row r="24" spans="1:4" x14ac:dyDescent="0.35">
      <c r="A24" s="104" t="s">
        <v>299</v>
      </c>
      <c r="B24" s="42">
        <v>792826853.33333337</v>
      </c>
    </row>
    <row r="31" spans="1:4" x14ac:dyDescent="0.35">
      <c r="A31" s="103" t="s">
        <v>298</v>
      </c>
      <c r="B31" t="s">
        <v>303</v>
      </c>
      <c r="C31" t="s">
        <v>304</v>
      </c>
      <c r="D31" t="s">
        <v>305</v>
      </c>
    </row>
    <row r="32" spans="1:4" x14ac:dyDescent="0.35">
      <c r="A32" s="104">
        <v>2024</v>
      </c>
      <c r="B32" s="42">
        <v>380160000</v>
      </c>
      <c r="C32" s="42">
        <v>192096000</v>
      </c>
      <c r="D32" s="42">
        <v>18435542.850000001</v>
      </c>
    </row>
    <row r="33" spans="1:8" x14ac:dyDescent="0.35">
      <c r="A33" s="104">
        <v>2025</v>
      </c>
      <c r="B33" s="42">
        <v>423705600</v>
      </c>
      <c r="C33" s="42">
        <v>218223360</v>
      </c>
      <c r="D33" s="42">
        <v>39622876.314750001</v>
      </c>
    </row>
    <row r="34" spans="1:8" x14ac:dyDescent="0.35">
      <c r="A34" s="104">
        <v>2026</v>
      </c>
      <c r="B34" s="42">
        <v>470476800</v>
      </c>
      <c r="C34" s="42">
        <v>246286080</v>
      </c>
      <c r="D34" s="42">
        <v>53634941.864291251</v>
      </c>
    </row>
    <row r="35" spans="1:8" x14ac:dyDescent="0.35">
      <c r="A35" s="104">
        <v>2027</v>
      </c>
      <c r="B35" s="42">
        <v>547992000</v>
      </c>
      <c r="C35" s="42">
        <v>292795200</v>
      </c>
      <c r="D35" s="42">
        <v>80571880.673112303</v>
      </c>
    </row>
    <row r="36" spans="1:8" x14ac:dyDescent="0.35">
      <c r="A36" s="104">
        <v>2028</v>
      </c>
      <c r="B36" s="42">
        <v>620136000</v>
      </c>
      <c r="C36" s="42">
        <v>336081600</v>
      </c>
      <c r="D36" s="42">
        <v>78818367.529066786</v>
      </c>
      <c r="F36" s="102" t="s">
        <v>309</v>
      </c>
      <c r="G36" s="102" t="s">
        <v>10</v>
      </c>
      <c r="H36" s="102" t="s">
        <v>310</v>
      </c>
    </row>
    <row r="37" spans="1:8" x14ac:dyDescent="0.35">
      <c r="A37" s="104" t="s">
        <v>299</v>
      </c>
      <c r="B37" s="42">
        <v>488494080</v>
      </c>
      <c r="C37" s="42">
        <v>257096448</v>
      </c>
      <c r="D37" s="42">
        <v>54216721.846244074</v>
      </c>
      <c r="F37" s="106">
        <v>586192896</v>
      </c>
      <c r="G37" s="106">
        <v>308515737.60000002</v>
      </c>
      <c r="H37" s="106">
        <v>84071929.821471006</v>
      </c>
    </row>
    <row r="41" spans="1:8" x14ac:dyDescent="0.35">
      <c r="A41" s="103" t="s">
        <v>298</v>
      </c>
      <c r="B41" t="s">
        <v>306</v>
      </c>
      <c r="C41" t="s">
        <v>307</v>
      </c>
      <c r="D41" t="s">
        <v>308</v>
      </c>
    </row>
    <row r="42" spans="1:8" x14ac:dyDescent="0.35">
      <c r="A42" s="104">
        <v>2024</v>
      </c>
      <c r="B42" s="24">
        <v>0.50530303030303025</v>
      </c>
      <c r="C42" s="24">
        <v>4.8494167850378793E-2</v>
      </c>
      <c r="D42" s="24">
        <v>0.11353573437948562</v>
      </c>
    </row>
    <row r="43" spans="1:8" x14ac:dyDescent="0.35">
      <c r="A43" s="104">
        <v>2025</v>
      </c>
      <c r="B43" s="24">
        <v>0.51503534529635675</v>
      </c>
      <c r="C43" s="24">
        <v>9.3515111234663884E-2</v>
      </c>
      <c r="D43" s="24">
        <v>0.20416283977044614</v>
      </c>
    </row>
    <row r="44" spans="1:8" x14ac:dyDescent="0.35">
      <c r="A44" s="104">
        <v>2026</v>
      </c>
      <c r="B44" s="24">
        <v>0.52348188050930455</v>
      </c>
      <c r="C44" s="24">
        <v>0.1140012469568983</v>
      </c>
      <c r="D44" s="24">
        <v>0.22632417563521334</v>
      </c>
    </row>
    <row r="45" spans="1:8" x14ac:dyDescent="0.35">
      <c r="A45" s="104">
        <v>2027</v>
      </c>
      <c r="B45" s="24">
        <v>0.53430561030088031</v>
      </c>
      <c r="C45" s="24">
        <v>0.14703112577028918</v>
      </c>
      <c r="D45" s="24">
        <v>0.26728965416302986</v>
      </c>
    </row>
    <row r="46" spans="1:8" x14ac:dyDescent="0.35">
      <c r="A46" s="104">
        <v>2028</v>
      </c>
      <c r="B46" s="24">
        <v>0.54194821781028679</v>
      </c>
      <c r="C46" s="24">
        <v>0.12709851956517085</v>
      </c>
      <c r="D46" s="24">
        <v>0.21623990191618964</v>
      </c>
    </row>
    <row r="47" spans="1:8" x14ac:dyDescent="0.35">
      <c r="A47" s="104" t="s">
        <v>299</v>
      </c>
      <c r="B47" s="24">
        <v>2.6200740842198584</v>
      </c>
      <c r="C47" s="24">
        <v>0.53014017137740099</v>
      </c>
      <c r="D47" s="24">
        <v>1.0275523058643645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Summary page</vt:lpstr>
      <vt:lpstr>Table of Content</vt:lpstr>
      <vt:lpstr>Dashboard</vt:lpstr>
      <vt:lpstr>Input data</vt:lpstr>
      <vt:lpstr>workings</vt:lpstr>
      <vt:lpstr>Income Statement</vt:lpstr>
      <vt:lpstr>Balance sheet</vt:lpstr>
      <vt:lpstr>Cashflows</vt:lpstr>
      <vt:lpstr>Valuation</vt:lpstr>
      <vt:lpstr>Financial ratio</vt:lpstr>
      <vt:lpstr>data1</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Ikechukwu Essell</dc:creator>
  <cp:lastModifiedBy>Ikechukwu Essell</cp:lastModifiedBy>
  <dcterms:created xsi:type="dcterms:W3CDTF">2025-02-11T19:30:41Z</dcterms:created>
  <dcterms:modified xsi:type="dcterms:W3CDTF">2025-02-23T15:18:04Z</dcterms:modified>
</cp:coreProperties>
</file>